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usdagcc.sharepoint.com/sites/MRP-AMS-TM-TSD/Shared Documents/GTR/WebZip Files/"/>
    </mc:Choice>
  </mc:AlternateContent>
  <xr:revisionPtr revIDLastSave="0" documentId="8_{9C1178B2-A792-49C2-83AC-2D62CB760860}" xr6:coauthVersionLast="47" xr6:coauthVersionMax="47" xr10:uidLastSave="{00000000-0000-0000-0000-000000000000}"/>
  <bookViews>
    <workbookView xWindow="-120" yWindow="-120" windowWidth="29040" windowHeight="15720" activeTab="3" xr2:uid="{00000000-000D-0000-FFFF-FFFF00000000}"/>
  </bookViews>
  <sheets>
    <sheet name="Notes" sheetId="11" r:id="rId1"/>
    <sheet name="Weights" sheetId="10" r:id="rId2"/>
    <sheet name="data" sheetId="1" r:id="rId3"/>
    <sheet name="GTR Figure" sheetId="12" r:id="rId4"/>
  </sheets>
  <definedNames>
    <definedName name="_xlnm.Print_Area" localSheetId="3">'GTR Figure'!$A$3:$J$18</definedName>
  </definedNames>
  <calcPr calcId="191028"/>
  <pivotCaches>
    <pivotCache cacheId="7" r:id="rId5"/>
    <pivotCache cacheId="8"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93" i="1" l="1"/>
  <c r="H293" i="1"/>
  <c r="G293" i="1"/>
  <c r="C293" i="1"/>
  <c r="D293" i="1"/>
  <c r="E293" i="1"/>
  <c r="L293" i="1" s="1"/>
  <c r="M293" i="1" s="1"/>
  <c r="B293" i="1"/>
  <c r="O293" i="1"/>
  <c r="C292" i="1"/>
  <c r="D292" i="1"/>
  <c r="E292" i="1"/>
  <c r="H292" i="1"/>
  <c r="G292" i="1"/>
  <c r="B292" i="1"/>
  <c r="O292" i="1"/>
  <c r="B290" i="1"/>
  <c r="C290" i="1"/>
  <c r="B291" i="1"/>
  <c r="C291" i="1"/>
  <c r="H291" i="1"/>
  <c r="G291" i="1"/>
  <c r="D291" i="1"/>
  <c r="E291" i="1"/>
  <c r="O291" i="1"/>
  <c r="G290" i="1"/>
  <c r="H290" i="1"/>
  <c r="D290" i="1"/>
  <c r="E290" i="1"/>
  <c r="O290" i="1"/>
  <c r="H289" i="1"/>
  <c r="G289" i="1"/>
  <c r="C289" i="1"/>
  <c r="D289" i="1"/>
  <c r="E289" i="1"/>
  <c r="B289" i="1"/>
  <c r="O289" i="1"/>
  <c r="H288" i="1"/>
  <c r="G288" i="1"/>
  <c r="C288" i="1"/>
  <c r="D288" i="1"/>
  <c r="E288" i="1"/>
  <c r="B288" i="1"/>
  <c r="O288" i="1"/>
  <c r="H287" i="1"/>
  <c r="G287" i="1"/>
  <c r="C287" i="1"/>
  <c r="D287" i="1"/>
  <c r="E287" i="1"/>
  <c r="B287" i="1"/>
  <c r="O287" i="1"/>
  <c r="H286" i="1"/>
  <c r="G286" i="1"/>
  <c r="C286" i="1"/>
  <c r="D286" i="1"/>
  <c r="E286" i="1"/>
  <c r="B286" i="1"/>
  <c r="O286" i="1"/>
  <c r="G284" i="1"/>
  <c r="H285" i="1"/>
  <c r="G285" i="1"/>
  <c r="C285" i="1"/>
  <c r="D285" i="1"/>
  <c r="E285" i="1"/>
  <c r="B285" i="1"/>
  <c r="O285" i="1"/>
  <c r="H284" i="1"/>
  <c r="C284" i="1"/>
  <c r="D284" i="1"/>
  <c r="E284" i="1"/>
  <c r="B284" i="1"/>
  <c r="O284" i="1"/>
  <c r="G283" i="1"/>
  <c r="B283" i="1"/>
  <c r="C283" i="1"/>
  <c r="D283" i="1"/>
  <c r="E283" i="1"/>
  <c r="H283" i="1"/>
  <c r="O283" i="1"/>
  <c r="H282" i="1"/>
  <c r="G282" i="1"/>
  <c r="C282" i="1"/>
  <c r="D282" i="1"/>
  <c r="E282" i="1"/>
  <c r="B282" i="1"/>
  <c r="O282" i="1"/>
  <c r="H281" i="1"/>
  <c r="G281" i="1"/>
  <c r="C281" i="1"/>
  <c r="D281" i="1"/>
  <c r="E281" i="1"/>
  <c r="B281" i="1"/>
  <c r="O281" i="1"/>
  <c r="O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G280" i="1"/>
  <c r="H280" i="1"/>
  <c r="C279" i="1"/>
  <c r="D279" i="1"/>
  <c r="E279" i="1"/>
  <c r="C280" i="1"/>
  <c r="D280" i="1"/>
  <c r="E280" i="1"/>
  <c r="B280" i="1"/>
  <c r="G279" i="1"/>
  <c r="H279" i="1"/>
  <c r="B279" i="1"/>
  <c r="H278" i="1"/>
  <c r="G278" i="1"/>
  <c r="C278" i="1"/>
  <c r="D278" i="1"/>
  <c r="E278" i="1"/>
  <c r="B278" i="1"/>
  <c r="G277" i="1"/>
  <c r="H277" i="1"/>
  <c r="C277" i="1"/>
  <c r="D277" i="1"/>
  <c r="E277" i="1"/>
  <c r="B277" i="1"/>
  <c r="G276" i="1"/>
  <c r="H276" i="1"/>
  <c r="C276" i="1"/>
  <c r="D276" i="1"/>
  <c r="E276" i="1"/>
  <c r="B276" i="1"/>
  <c r="G275" i="1"/>
  <c r="H275" i="1"/>
  <c r="C275" i="1"/>
  <c r="D275" i="1"/>
  <c r="E275" i="1"/>
  <c r="B275" i="1"/>
  <c r="G274" i="1"/>
  <c r="H274" i="1"/>
  <c r="C274" i="1"/>
  <c r="D274" i="1"/>
  <c r="E274" i="1"/>
  <c r="B274" i="1"/>
  <c r="G273" i="1"/>
  <c r="H273" i="1"/>
  <c r="C273" i="1"/>
  <c r="D273" i="1"/>
  <c r="E273" i="1"/>
  <c r="B273" i="1"/>
  <c r="K272" i="1"/>
  <c r="G272" i="1"/>
  <c r="H272" i="1"/>
  <c r="C272" i="1"/>
  <c r="D272" i="1"/>
  <c r="E272" i="1"/>
  <c r="B272" i="1"/>
  <c r="H271" i="1"/>
  <c r="G271" i="1"/>
  <c r="C271" i="1"/>
  <c r="D271" i="1"/>
  <c r="E271" i="1"/>
  <c r="B271" i="1"/>
  <c r="H270" i="1"/>
  <c r="G270" i="1"/>
  <c r="C270" i="1"/>
  <c r="D270" i="1"/>
  <c r="E270" i="1"/>
  <c r="B270" i="1"/>
  <c r="H269" i="1"/>
  <c r="G269" i="1"/>
  <c r="C269" i="1"/>
  <c r="D269" i="1"/>
  <c r="E269" i="1"/>
  <c r="B269" i="1"/>
  <c r="M7" i="12"/>
  <c r="M6" i="12"/>
  <c r="M5" i="12"/>
  <c r="H268" i="1"/>
  <c r="G268" i="1"/>
  <c r="C268" i="1"/>
  <c r="D268" i="1"/>
  <c r="E268" i="1"/>
  <c r="B268" i="1"/>
  <c r="L292" i="1" l="1"/>
  <c r="M292" i="1" s="1"/>
  <c r="L290" i="1"/>
  <c r="M290" i="1" s="1"/>
  <c r="L288" i="1"/>
  <c r="M288" i="1" s="1"/>
  <c r="L291" i="1"/>
  <c r="M291" i="1" s="1"/>
  <c r="L286" i="1"/>
  <c r="M286" i="1" s="1"/>
  <c r="L289" i="1"/>
  <c r="M289" i="1" s="1"/>
  <c r="L287" i="1"/>
  <c r="M287" i="1" s="1"/>
  <c r="L283" i="1"/>
  <c r="M283" i="1" s="1"/>
  <c r="L282" i="1"/>
  <c r="M282" i="1" s="1"/>
  <c r="L285" i="1"/>
  <c r="M285" i="1" s="1"/>
  <c r="L281" i="1"/>
  <c r="M281" i="1" s="1"/>
  <c r="L284" i="1"/>
  <c r="M284" i="1" s="1"/>
  <c r="L279" i="1"/>
  <c r="M279" i="1" s="1"/>
  <c r="L278" i="1"/>
  <c r="M278" i="1" s="1"/>
  <c r="L280" i="1"/>
  <c r="M280" i="1" s="1"/>
  <c r="L275" i="1"/>
  <c r="M275" i="1" s="1"/>
  <c r="L277" i="1"/>
  <c r="M277" i="1" s="1"/>
  <c r="L276" i="1"/>
  <c r="M276" i="1" s="1"/>
  <c r="L274" i="1"/>
  <c r="M274" i="1" s="1"/>
  <c r="L271" i="1"/>
  <c r="M271" i="1" s="1"/>
  <c r="L273" i="1"/>
  <c r="M273" i="1" s="1"/>
  <c r="L270" i="1"/>
  <c r="M270" i="1" s="1"/>
  <c r="L272" i="1"/>
  <c r="M272" i="1" s="1"/>
  <c r="L268" i="1"/>
  <c r="M268" i="1" s="1"/>
  <c r="L269" i="1"/>
  <c r="M269" i="1" s="1"/>
  <c r="M8" i="12"/>
  <c r="C267" i="1"/>
  <c r="D267" i="1"/>
  <c r="E267" i="1"/>
  <c r="H267" i="1"/>
  <c r="G267" i="1"/>
  <c r="B267" i="1"/>
  <c r="N6" i="12" l="1"/>
  <c r="L267" i="1"/>
  <c r="M267" i="1" s="1"/>
  <c r="N7" i="12"/>
  <c r="H266" i="1"/>
  <c r="G266" i="1"/>
  <c r="C266" i="1"/>
  <c r="D266" i="1"/>
  <c r="E266" i="1"/>
  <c r="B266" i="1"/>
  <c r="O7" i="12" l="1"/>
  <c r="P7" i="12" s="1"/>
  <c r="L266" i="1"/>
  <c r="M266" i="1" s="1"/>
  <c r="H265" i="1"/>
  <c r="G265" i="1"/>
  <c r="C265" i="1"/>
  <c r="D265" i="1"/>
  <c r="E265" i="1"/>
  <c r="B265" i="1"/>
  <c r="Q7" i="12" l="1"/>
  <c r="L265" i="1"/>
  <c r="M265" i="1" s="1"/>
  <c r="H264" i="1"/>
  <c r="G264" i="1"/>
  <c r="C264" i="1"/>
  <c r="D264" i="1"/>
  <c r="E264" i="1"/>
  <c r="B264" i="1"/>
  <c r="L264" i="1" l="1"/>
  <c r="M264" i="1" s="1"/>
  <c r="G263" i="1"/>
  <c r="H263" i="1"/>
  <c r="C263" i="1"/>
  <c r="D263" i="1"/>
  <c r="E263" i="1"/>
  <c r="B263" i="1"/>
  <c r="L263" i="1" l="1"/>
  <c r="M263" i="1" s="1"/>
  <c r="L2" i="1"/>
  <c r="L3" i="1"/>
  <c r="M2" i="1" l="1"/>
  <c r="M3" i="1"/>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C4" i="1"/>
  <c r="L4" i="1" s="1"/>
  <c r="M4" i="1" s="1"/>
  <c r="C5" i="1"/>
  <c r="L5" i="1" s="1"/>
  <c r="M5" i="1" s="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C6" i="1"/>
  <c r="L6" i="1" s="1"/>
  <c r="M6" i="1" s="1"/>
  <c r="C7" i="1"/>
  <c r="L7" i="1" s="1"/>
  <c r="M7" i="1" s="1"/>
  <c r="C8" i="1"/>
  <c r="L8" i="1" s="1"/>
  <c r="M8" i="1" s="1"/>
  <c r="C9" i="1"/>
  <c r="L9" i="1" s="1"/>
  <c r="M9" i="1" s="1"/>
  <c r="C10" i="1"/>
  <c r="L10" i="1" s="1"/>
  <c r="M10" i="1" s="1"/>
  <c r="C11" i="1"/>
  <c r="L11" i="1" s="1"/>
  <c r="M11" i="1" s="1"/>
  <c r="C12" i="1"/>
  <c r="L12" i="1" s="1"/>
  <c r="M12" i="1" s="1"/>
  <c r="C13" i="1"/>
  <c r="L13" i="1" s="1"/>
  <c r="M13" i="1" s="1"/>
  <c r="C14" i="1"/>
  <c r="L14" i="1" s="1"/>
  <c r="M14" i="1" s="1"/>
  <c r="C15" i="1"/>
  <c r="L15" i="1" s="1"/>
  <c r="M15" i="1" s="1"/>
  <c r="C16" i="1"/>
  <c r="L16" i="1" s="1"/>
  <c r="M16" i="1" s="1"/>
  <c r="C17" i="1"/>
  <c r="L17" i="1" s="1"/>
  <c r="M17" i="1" s="1"/>
  <c r="C18" i="1"/>
  <c r="L18" i="1" s="1"/>
  <c r="M18" i="1" s="1"/>
  <c r="C19" i="1"/>
  <c r="L19" i="1" s="1"/>
  <c r="M19" i="1" s="1"/>
  <c r="C20" i="1"/>
  <c r="L20" i="1" s="1"/>
  <c r="M20" i="1" s="1"/>
  <c r="C21" i="1"/>
  <c r="L21" i="1" s="1"/>
  <c r="M21" i="1" s="1"/>
  <c r="C22" i="1"/>
  <c r="L22" i="1" s="1"/>
  <c r="M22" i="1" s="1"/>
  <c r="C23" i="1"/>
  <c r="L23" i="1" s="1"/>
  <c r="M23" i="1" s="1"/>
  <c r="C24" i="1"/>
  <c r="L24" i="1" s="1"/>
  <c r="M24" i="1" s="1"/>
  <c r="C25" i="1"/>
  <c r="L25" i="1" s="1"/>
  <c r="M25" i="1" s="1"/>
  <c r="C26" i="1"/>
  <c r="L26" i="1" s="1"/>
  <c r="M26" i="1" s="1"/>
  <c r="C27" i="1"/>
  <c r="L27" i="1" s="1"/>
  <c r="M27" i="1" s="1"/>
  <c r="C28" i="1"/>
  <c r="L28" i="1" s="1"/>
  <c r="M28" i="1" s="1"/>
  <c r="C29" i="1"/>
  <c r="L29" i="1" s="1"/>
  <c r="M29" i="1" s="1"/>
  <c r="C30" i="1"/>
  <c r="L30" i="1" s="1"/>
  <c r="M30" i="1" s="1"/>
  <c r="C31" i="1"/>
  <c r="L31" i="1" s="1"/>
  <c r="M31" i="1" s="1"/>
  <c r="C32" i="1"/>
  <c r="L32" i="1" s="1"/>
  <c r="M32" i="1" s="1"/>
  <c r="C33" i="1"/>
  <c r="L33" i="1" s="1"/>
  <c r="M33" i="1" s="1"/>
  <c r="C34" i="1"/>
  <c r="L34" i="1" s="1"/>
  <c r="M34" i="1" s="1"/>
  <c r="C35" i="1"/>
  <c r="L35" i="1" s="1"/>
  <c r="M35" i="1" s="1"/>
  <c r="C36" i="1"/>
  <c r="L36" i="1" s="1"/>
  <c r="M36" i="1" s="1"/>
  <c r="C37" i="1"/>
  <c r="L37" i="1" s="1"/>
  <c r="M37" i="1" s="1"/>
  <c r="C38" i="1"/>
  <c r="L38" i="1" s="1"/>
  <c r="M38" i="1" s="1"/>
  <c r="C39" i="1"/>
  <c r="L39" i="1" s="1"/>
  <c r="M39" i="1" s="1"/>
  <c r="C40" i="1"/>
  <c r="L40" i="1" s="1"/>
  <c r="M40" i="1" s="1"/>
  <c r="C41" i="1"/>
  <c r="L41" i="1" s="1"/>
  <c r="M41" i="1" s="1"/>
  <c r="C42" i="1"/>
  <c r="L42" i="1" s="1"/>
  <c r="M42" i="1" s="1"/>
  <c r="C43" i="1"/>
  <c r="L43" i="1" s="1"/>
  <c r="M43" i="1" s="1"/>
  <c r="C44" i="1"/>
  <c r="L44" i="1" s="1"/>
  <c r="M44" i="1" s="1"/>
  <c r="C45" i="1"/>
  <c r="L45" i="1" s="1"/>
  <c r="M45" i="1" s="1"/>
  <c r="C46" i="1"/>
  <c r="L46" i="1" s="1"/>
  <c r="M46" i="1" s="1"/>
  <c r="C47" i="1"/>
  <c r="L47" i="1" s="1"/>
  <c r="M47" i="1" s="1"/>
  <c r="C48" i="1"/>
  <c r="L48" i="1" s="1"/>
  <c r="M48" i="1" s="1"/>
  <c r="C49" i="1"/>
  <c r="L49" i="1" s="1"/>
  <c r="M49" i="1" s="1"/>
  <c r="C50" i="1"/>
  <c r="L50" i="1" s="1"/>
  <c r="M50" i="1" s="1"/>
  <c r="C51" i="1"/>
  <c r="L51" i="1" s="1"/>
  <c r="M51" i="1" s="1"/>
  <c r="C52" i="1"/>
  <c r="L52" i="1" s="1"/>
  <c r="M52" i="1" s="1"/>
  <c r="C53" i="1"/>
  <c r="L53" i="1" s="1"/>
  <c r="M53" i="1" s="1"/>
  <c r="C54" i="1"/>
  <c r="L54" i="1" s="1"/>
  <c r="M54" i="1" s="1"/>
  <c r="C55" i="1"/>
  <c r="L55" i="1" s="1"/>
  <c r="M55" i="1" s="1"/>
  <c r="C56" i="1"/>
  <c r="L56" i="1" s="1"/>
  <c r="M56" i="1" s="1"/>
  <c r="C57" i="1"/>
  <c r="L57" i="1" s="1"/>
  <c r="M57" i="1" s="1"/>
  <c r="C58" i="1"/>
  <c r="L58" i="1" s="1"/>
  <c r="M58" i="1" s="1"/>
  <c r="C59" i="1"/>
  <c r="L59" i="1" s="1"/>
  <c r="M59" i="1" s="1"/>
  <c r="C60" i="1"/>
  <c r="L60" i="1" s="1"/>
  <c r="M60" i="1" s="1"/>
  <c r="C61" i="1"/>
  <c r="L61" i="1" s="1"/>
  <c r="M61" i="1" s="1"/>
  <c r="C62" i="1"/>
  <c r="L62" i="1" s="1"/>
  <c r="M62" i="1" s="1"/>
  <c r="C63" i="1"/>
  <c r="L63" i="1" s="1"/>
  <c r="M63" i="1" s="1"/>
  <c r="C64" i="1"/>
  <c r="L64" i="1" s="1"/>
  <c r="M64" i="1" s="1"/>
  <c r="C65" i="1"/>
  <c r="L65" i="1" s="1"/>
  <c r="M65" i="1" s="1"/>
  <c r="C66" i="1"/>
  <c r="L66" i="1" s="1"/>
  <c r="M66" i="1" s="1"/>
  <c r="C67" i="1"/>
  <c r="L67" i="1" s="1"/>
  <c r="M67" i="1" s="1"/>
  <c r="C68" i="1"/>
  <c r="L68" i="1" s="1"/>
  <c r="M68" i="1" s="1"/>
  <c r="C69" i="1"/>
  <c r="L69" i="1" s="1"/>
  <c r="M69" i="1" s="1"/>
  <c r="C70" i="1"/>
  <c r="L70" i="1" s="1"/>
  <c r="M70" i="1" s="1"/>
  <c r="C71" i="1"/>
  <c r="L71" i="1" s="1"/>
  <c r="M71" i="1" s="1"/>
  <c r="C72" i="1"/>
  <c r="L72" i="1" s="1"/>
  <c r="M72" i="1" s="1"/>
  <c r="C73" i="1"/>
  <c r="L73" i="1" s="1"/>
  <c r="M73" i="1" s="1"/>
  <c r="C74" i="1"/>
  <c r="L74" i="1" s="1"/>
  <c r="M74" i="1" s="1"/>
  <c r="C75" i="1"/>
  <c r="L75" i="1" s="1"/>
  <c r="M75" i="1" s="1"/>
  <c r="C76" i="1"/>
  <c r="L76" i="1" s="1"/>
  <c r="M76" i="1" s="1"/>
  <c r="C77" i="1"/>
  <c r="L77" i="1" s="1"/>
  <c r="M77" i="1" s="1"/>
  <c r="C78" i="1"/>
  <c r="L78" i="1" s="1"/>
  <c r="M78" i="1" s="1"/>
  <c r="C79" i="1"/>
  <c r="L79" i="1" s="1"/>
  <c r="M79" i="1" s="1"/>
  <c r="C80" i="1"/>
  <c r="L80" i="1" s="1"/>
  <c r="M80" i="1" s="1"/>
  <c r="C81" i="1"/>
  <c r="L81" i="1" s="1"/>
  <c r="M81" i="1" s="1"/>
  <c r="C82" i="1"/>
  <c r="L82" i="1" s="1"/>
  <c r="M82" i="1" s="1"/>
  <c r="C83" i="1"/>
  <c r="L83" i="1" s="1"/>
  <c r="M83" i="1" s="1"/>
  <c r="C84" i="1"/>
  <c r="L84" i="1" s="1"/>
  <c r="M84" i="1" s="1"/>
  <c r="C85" i="1"/>
  <c r="L85" i="1" s="1"/>
  <c r="M85" i="1" s="1"/>
  <c r="C86" i="1"/>
  <c r="L86" i="1" s="1"/>
  <c r="M86" i="1" s="1"/>
  <c r="C87" i="1"/>
  <c r="L87" i="1" s="1"/>
  <c r="M87" i="1" s="1"/>
  <c r="C88" i="1"/>
  <c r="L88" i="1" s="1"/>
  <c r="M88" i="1" s="1"/>
  <c r="C89" i="1"/>
  <c r="L89" i="1" s="1"/>
  <c r="M89" i="1" s="1"/>
  <c r="C90" i="1"/>
  <c r="L90" i="1" s="1"/>
  <c r="M90" i="1" s="1"/>
  <c r="C91" i="1"/>
  <c r="L91" i="1" s="1"/>
  <c r="M91" i="1" s="1"/>
  <c r="C92" i="1"/>
  <c r="L92" i="1" s="1"/>
  <c r="M92" i="1" s="1"/>
  <c r="C93" i="1"/>
  <c r="L93" i="1" s="1"/>
  <c r="M93" i="1" s="1"/>
  <c r="C94" i="1"/>
  <c r="L94" i="1" s="1"/>
  <c r="M94" i="1" s="1"/>
  <c r="C95" i="1"/>
  <c r="L95" i="1" s="1"/>
  <c r="M95" i="1" s="1"/>
  <c r="C96" i="1"/>
  <c r="L96" i="1" s="1"/>
  <c r="M96" i="1" s="1"/>
  <c r="C97" i="1"/>
  <c r="L97" i="1" s="1"/>
  <c r="M97" i="1" s="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D262" i="1"/>
  <c r="E262" i="1"/>
  <c r="H262" i="1" l="1"/>
  <c r="G262" i="1"/>
  <c r="B262" i="1"/>
  <c r="L262" i="1" l="1"/>
  <c r="M262" i="1" s="1"/>
  <c r="H261" i="1"/>
  <c r="Q258" i="1"/>
  <c r="G261" i="1"/>
  <c r="B261" i="1"/>
  <c r="L261" i="1" l="1"/>
  <c r="M261" i="1" s="1"/>
  <c r="H260" i="1"/>
  <c r="G260" i="1"/>
  <c r="B260" i="1"/>
  <c r="L260" i="1" l="1"/>
  <c r="M260" i="1" s="1"/>
  <c r="H259" i="1"/>
  <c r="G259" i="1"/>
  <c r="B259" i="1"/>
  <c r="L259" i="1" l="1"/>
  <c r="M259" i="1" s="1"/>
  <c r="H258" i="1"/>
  <c r="G258" i="1" l="1"/>
  <c r="L258" i="1" s="1"/>
  <c r="M258" i="1" s="1"/>
  <c r="B258" i="1"/>
  <c r="H254" i="1" l="1"/>
  <c r="H255" i="1"/>
  <c r="H256" i="1"/>
  <c r="H257"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L225" i="1" s="1"/>
  <c r="M225" i="1" s="1"/>
  <c r="H226" i="1"/>
  <c r="H227" i="1"/>
  <c r="H228" i="1"/>
  <c r="H229" i="1"/>
  <c r="H230" i="1"/>
  <c r="H231" i="1"/>
  <c r="H232" i="1"/>
  <c r="H233" i="1"/>
  <c r="H234" i="1"/>
  <c r="H235" i="1"/>
  <c r="H236" i="1"/>
  <c r="H237" i="1"/>
  <c r="L237" i="1" s="1"/>
  <c r="M237" i="1" s="1"/>
  <c r="H238" i="1"/>
  <c r="L238" i="1" s="1"/>
  <c r="M238" i="1" s="1"/>
  <c r="H239" i="1"/>
  <c r="H240" i="1"/>
  <c r="H241" i="1"/>
  <c r="H242" i="1"/>
  <c r="H243" i="1"/>
  <c r="H244" i="1"/>
  <c r="H245" i="1"/>
  <c r="H246" i="1"/>
  <c r="H247" i="1"/>
  <c r="H248" i="1"/>
  <c r="H249" i="1"/>
  <c r="H250" i="1"/>
  <c r="H251" i="1"/>
  <c r="H252" i="1"/>
  <c r="H253" i="1"/>
  <c r="G257" i="1" l="1"/>
  <c r="L257" i="1" s="1"/>
  <c r="M257" i="1" s="1"/>
  <c r="N293" i="1" s="1"/>
  <c r="B257" i="1"/>
  <c r="G256" i="1" l="1"/>
  <c r="L256" i="1" s="1"/>
  <c r="M256" i="1" s="1"/>
  <c r="N292" i="1" s="1"/>
  <c r="B256" i="1"/>
  <c r="N8" i="12" l="1"/>
  <c r="O8" i="12" s="1"/>
  <c r="G255" i="1"/>
  <c r="L255" i="1" s="1"/>
  <c r="M255" i="1" s="1"/>
  <c r="N291" i="1" s="1"/>
  <c r="B255" i="1"/>
  <c r="P8" i="12" l="1"/>
  <c r="Q8" i="12"/>
  <c r="G254" i="1"/>
  <c r="L254" i="1" s="1"/>
  <c r="M254" i="1" s="1"/>
  <c r="N290" i="1" s="1"/>
  <c r="B254" i="1"/>
  <c r="G253" i="1" l="1"/>
  <c r="L253" i="1" s="1"/>
  <c r="M253" i="1" s="1"/>
  <c r="N289" i="1" s="1"/>
  <c r="B253" i="1"/>
  <c r="G252" i="1" l="1"/>
  <c r="L252" i="1" s="1"/>
  <c r="M252" i="1" s="1"/>
  <c r="N288" i="1" s="1"/>
  <c r="B252" i="1"/>
  <c r="G251" i="1" l="1"/>
  <c r="L251" i="1" s="1"/>
  <c r="M251" i="1" s="1"/>
  <c r="N287" i="1" s="1"/>
  <c r="B251" i="1"/>
  <c r="G250" i="1" l="1"/>
  <c r="L250" i="1" s="1"/>
  <c r="M250" i="1" s="1"/>
  <c r="B250" i="1"/>
  <c r="N274" i="1" l="1"/>
  <c r="N286" i="1"/>
  <c r="G249" i="1"/>
  <c r="L249" i="1" s="1"/>
  <c r="M249" i="1" s="1"/>
  <c r="B249" i="1"/>
  <c r="N273" i="1" l="1"/>
  <c r="N285" i="1"/>
  <c r="G248" i="1"/>
  <c r="L248" i="1" s="1"/>
  <c r="M248" i="1" s="1"/>
  <c r="N284" i="1" s="1"/>
  <c r="B248" i="1"/>
  <c r="G247" i="1" l="1"/>
  <c r="L247" i="1" s="1"/>
  <c r="M247" i="1" s="1"/>
  <c r="N283" i="1" s="1"/>
  <c r="B247" i="1"/>
  <c r="G246" i="1" l="1"/>
  <c r="L246" i="1" s="1"/>
  <c r="M246" i="1" s="1"/>
  <c r="N282" i="1" s="1"/>
  <c r="B246" i="1"/>
  <c r="G245" i="1" l="1"/>
  <c r="L245" i="1" s="1"/>
  <c r="M245" i="1" s="1"/>
  <c r="N281" i="1" s="1"/>
  <c r="B245" i="1"/>
  <c r="G244" i="1"/>
  <c r="L244" i="1" s="1"/>
  <c r="M244" i="1" s="1"/>
  <c r="N280" i="1" s="1"/>
  <c r="B244" i="1"/>
  <c r="G243" i="1"/>
  <c r="L243" i="1" s="1"/>
  <c r="M243" i="1" s="1"/>
  <c r="N279" i="1" s="1"/>
  <c r="B243" i="1"/>
  <c r="G242" i="1" l="1"/>
  <c r="L242" i="1" s="1"/>
  <c r="M242" i="1" s="1"/>
  <c r="N278" i="1" s="1"/>
  <c r="B242" i="1"/>
  <c r="G241" i="1" l="1"/>
  <c r="L241" i="1" s="1"/>
  <c r="M241" i="1" s="1"/>
  <c r="N277" i="1" s="1"/>
  <c r="B241" i="1"/>
  <c r="G240" i="1" l="1"/>
  <c r="L240" i="1" s="1"/>
  <c r="M240" i="1" s="1"/>
  <c r="N276" i="1" s="1"/>
  <c r="G239" i="1"/>
  <c r="L239" i="1" s="1"/>
  <c r="M239" i="1" s="1"/>
  <c r="N275" i="1" s="1"/>
  <c r="B240" i="1"/>
  <c r="B239" i="1" l="1"/>
  <c r="B238" i="1" l="1"/>
  <c r="B237" i="1" l="1"/>
  <c r="G236" i="1" l="1"/>
  <c r="L236" i="1" s="1"/>
  <c r="M236" i="1" s="1"/>
  <c r="N272" i="1" s="1"/>
  <c r="G235" i="1"/>
  <c r="L235" i="1" s="1"/>
  <c r="M235" i="1" s="1"/>
  <c r="N271" i="1" s="1"/>
  <c r="B236" i="1"/>
  <c r="B235" i="1" l="1"/>
  <c r="G234" i="1" l="1"/>
  <c r="L234" i="1" s="1"/>
  <c r="M234" i="1" s="1"/>
  <c r="N270" i="1" s="1"/>
  <c r="B234" i="1"/>
  <c r="G233" i="1" l="1"/>
  <c r="L233" i="1" s="1"/>
  <c r="M233" i="1" s="1"/>
  <c r="N269" i="1" s="1"/>
  <c r="B233" i="1"/>
  <c r="G232" i="1" l="1"/>
  <c r="L232" i="1" s="1"/>
  <c r="M232" i="1" s="1"/>
  <c r="N268" i="1" s="1"/>
  <c r="N9" i="12" s="1"/>
  <c r="O9" i="12" s="1"/>
  <c r="Q9" i="12" l="1"/>
  <c r="P9" i="12"/>
  <c r="M12" i="12" s="1"/>
  <c r="B232" i="1"/>
  <c r="G231" i="1" l="1"/>
  <c r="L231" i="1" s="1"/>
  <c r="M231" i="1" s="1"/>
  <c r="N267" i="1" s="1"/>
  <c r="B231" i="1"/>
  <c r="G230" i="1" l="1"/>
  <c r="L230" i="1" s="1"/>
  <c r="M230" i="1" s="1"/>
  <c r="N266" i="1" s="1"/>
  <c r="B230" i="1" l="1"/>
  <c r="G229" i="1" l="1"/>
  <c r="L229" i="1" s="1"/>
  <c r="M229" i="1" s="1"/>
  <c r="N265" i="1" s="1"/>
  <c r="B229" i="1"/>
  <c r="G228" i="1" l="1"/>
  <c r="L228" i="1" s="1"/>
  <c r="M228" i="1" s="1"/>
  <c r="N264" i="1" s="1"/>
  <c r="B228" i="1"/>
  <c r="G227" i="1" l="1"/>
  <c r="L227" i="1" s="1"/>
  <c r="M227" i="1" s="1"/>
  <c r="N263" i="1" s="1"/>
  <c r="B227" i="1"/>
  <c r="G226" i="1" l="1"/>
  <c r="B226" i="1"/>
  <c r="L226" i="1" l="1"/>
  <c r="M226" i="1" s="1"/>
  <c r="N262" i="1" s="1"/>
  <c r="B225" i="1"/>
  <c r="N261" i="1"/>
  <c r="G224" i="1" l="1"/>
  <c r="B224" i="1"/>
  <c r="L224" i="1" l="1"/>
  <c r="M224" i="1" s="1"/>
  <c r="N260" i="1" s="1"/>
  <c r="G223" i="1"/>
  <c r="L223" i="1" s="1"/>
  <c r="M223" i="1" s="1"/>
  <c r="B223" i="1" l="1"/>
  <c r="N259" i="1"/>
  <c r="G222" i="1" l="1"/>
  <c r="B222" i="1"/>
  <c r="L222" i="1" l="1"/>
  <c r="M222" i="1" s="1"/>
  <c r="N258" i="1" s="1"/>
  <c r="G221" i="1"/>
  <c r="B221" i="1"/>
  <c r="L221" i="1" l="1"/>
  <c r="M221" i="1" s="1"/>
  <c r="N257" i="1" s="1"/>
  <c r="G220" i="1"/>
  <c r="B220" i="1"/>
  <c r="L220" i="1" l="1"/>
  <c r="M220" i="1" s="1"/>
  <c r="N256" i="1" s="1"/>
  <c r="B219" i="1"/>
  <c r="G219" i="1" l="1"/>
  <c r="G218" i="1"/>
  <c r="B218" i="1"/>
  <c r="L218" i="1" l="1"/>
  <c r="M218" i="1" s="1"/>
  <c r="N254" i="1" s="1"/>
  <c r="L219" i="1"/>
  <c r="M219" i="1" s="1"/>
  <c r="N255" i="1" s="1"/>
  <c r="G217" i="1"/>
  <c r="G216" i="1"/>
  <c r="L216" i="1" s="1"/>
  <c r="M216" i="1" s="1"/>
  <c r="B217" i="1"/>
  <c r="L217" i="1" l="1"/>
  <c r="M217" i="1" s="1"/>
  <c r="N253" i="1" s="1"/>
  <c r="N252" i="1"/>
  <c r="B216" i="1"/>
  <c r="G215" i="1" l="1"/>
  <c r="B215" i="1"/>
  <c r="L215" i="1" l="1"/>
  <c r="M215" i="1" s="1"/>
  <c r="N251" i="1" s="1"/>
  <c r="G214" i="1"/>
  <c r="G213" i="1"/>
  <c r="L213" i="1" s="1"/>
  <c r="M213" i="1" s="1"/>
  <c r="B214" i="1"/>
  <c r="L214" i="1" l="1"/>
  <c r="M214" i="1" s="1"/>
  <c r="N250" i="1" s="1"/>
  <c r="V220" i="1"/>
  <c r="Z198" i="1"/>
  <c r="Z199" i="1"/>
  <c r="Z200" i="1"/>
  <c r="Z201" i="1"/>
  <c r="Z202" i="1"/>
  <c r="Z203" i="1"/>
  <c r="Z204" i="1"/>
  <c r="Z205" i="1"/>
  <c r="Z206" i="1"/>
  <c r="Z207" i="1"/>
  <c r="Z208" i="1"/>
  <c r="Z209" i="1"/>
  <c r="Z210" i="1"/>
  <c r="Z211" i="1"/>
  <c r="Z212" i="1"/>
  <c r="Z213" i="1"/>
  <c r="Z214" i="1"/>
  <c r="Z215" i="1"/>
  <c r="Z216" i="1"/>
  <c r="Z217" i="1"/>
  <c r="Z218" i="1"/>
  <c r="Z219" i="1"/>
  <c r="X220" i="1" s="1"/>
  <c r="Z197" i="1"/>
  <c r="Y197" i="1"/>
  <c r="Y198" i="1"/>
  <c r="Y199" i="1"/>
  <c r="Y200" i="1"/>
  <c r="Y201" i="1"/>
  <c r="Y202" i="1"/>
  <c r="Y203" i="1"/>
  <c r="Y204" i="1"/>
  <c r="Y205" i="1"/>
  <c r="Y206" i="1"/>
  <c r="Y207" i="1"/>
  <c r="Y208" i="1"/>
  <c r="Y209" i="1"/>
  <c r="Y210" i="1"/>
  <c r="Y211" i="1"/>
  <c r="Y212" i="1"/>
  <c r="Y213" i="1"/>
  <c r="Y214" i="1"/>
  <c r="Y215" i="1"/>
  <c r="Y216" i="1"/>
  <c r="Y217" i="1"/>
  <c r="Y218" i="1"/>
  <c r="Y219" i="1"/>
  <c r="Y196" i="1"/>
  <c r="N249" i="1"/>
  <c r="B213" i="1"/>
  <c r="W220" i="1" l="1"/>
  <c r="Y220" i="1" s="1"/>
  <c r="Z220" i="1"/>
  <c r="X221" i="1" s="1"/>
  <c r="G212" i="1"/>
  <c r="B212" i="1"/>
  <c r="L212" i="1" l="1"/>
  <c r="M212" i="1" s="1"/>
  <c r="N248" i="1" s="1"/>
  <c r="V221" i="1"/>
  <c r="Z221" i="1"/>
  <c r="X222" i="1" s="1"/>
  <c r="G210" i="1"/>
  <c r="L210" i="1" s="1"/>
  <c r="M210" i="1" s="1"/>
  <c r="G211" i="1"/>
  <c r="B211" i="1"/>
  <c r="L211" i="1" l="1"/>
  <c r="M211" i="1" s="1"/>
  <c r="N247" i="1" s="1"/>
  <c r="W221" i="1"/>
  <c r="Z222" i="1"/>
  <c r="X223" i="1" s="1"/>
  <c r="Z223" i="1" s="1"/>
  <c r="X224" i="1" s="1"/>
  <c r="Z224" i="1" s="1"/>
  <c r="X225" i="1" s="1"/>
  <c r="Z225" i="1" s="1"/>
  <c r="X226" i="1" s="1"/>
  <c r="N246" i="1"/>
  <c r="B210" i="1"/>
  <c r="Y221" i="1" l="1"/>
  <c r="V222" i="1"/>
  <c r="Z226" i="1"/>
  <c r="X227" i="1" s="1"/>
  <c r="Z227" i="1" s="1"/>
  <c r="X228" i="1" s="1"/>
  <c r="Z228" i="1" s="1"/>
  <c r="X229" i="1" s="1"/>
  <c r="Z229" i="1" s="1"/>
  <c r="X230" i="1" s="1"/>
  <c r="G209" i="1"/>
  <c r="G208" i="1"/>
  <c r="L208" i="1" s="1"/>
  <c r="M208" i="1" s="1"/>
  <c r="B209" i="1"/>
  <c r="L209" i="1" l="1"/>
  <c r="M209" i="1" s="1"/>
  <c r="N245" i="1" s="1"/>
  <c r="W222" i="1"/>
  <c r="Z230" i="1"/>
  <c r="X231" i="1" s="1"/>
  <c r="Z231" i="1" s="1"/>
  <c r="X232" i="1" s="1"/>
  <c r="G207" i="1"/>
  <c r="L207" i="1" s="1"/>
  <c r="M207" i="1" s="1"/>
  <c r="B208" i="1"/>
  <c r="N244" i="1"/>
  <c r="V223" i="1" l="1"/>
  <c r="Y222" i="1"/>
  <c r="Z232" i="1"/>
  <c r="X233" i="1" s="1"/>
  <c r="N243" i="1"/>
  <c r="B207" i="1"/>
  <c r="W223" i="1" l="1"/>
  <c r="Z233" i="1"/>
  <c r="X234" i="1" s="1"/>
  <c r="G206" i="1"/>
  <c r="L206" i="1" s="1"/>
  <c r="M206" i="1" s="1"/>
  <c r="Z234" i="1" l="1"/>
  <c r="X235" i="1" s="1"/>
  <c r="Z235" i="1" s="1"/>
  <c r="X236" i="1" s="1"/>
  <c r="Y223" i="1"/>
  <c r="V224" i="1"/>
  <c r="B206" i="1"/>
  <c r="N242" i="1"/>
  <c r="Z236" i="1" l="1"/>
  <c r="X237" i="1" s="1"/>
  <c r="W224" i="1"/>
  <c r="G205" i="1"/>
  <c r="L205" i="1" s="1"/>
  <c r="M205" i="1" s="1"/>
  <c r="Z237" i="1" l="1"/>
  <c r="X238" i="1" s="1"/>
  <c r="Y224" i="1"/>
  <c r="V225" i="1"/>
  <c r="N241" i="1"/>
  <c r="B205" i="1"/>
  <c r="Z238" i="1" l="1"/>
  <c r="X239" i="1" s="1"/>
  <c r="Z239" i="1" s="1"/>
  <c r="X240" i="1" s="1"/>
  <c r="W225" i="1"/>
  <c r="G204" i="1"/>
  <c r="B204" i="1"/>
  <c r="L204" i="1" l="1"/>
  <c r="M204" i="1" s="1"/>
  <c r="N240" i="1" s="1"/>
  <c r="Z240" i="1"/>
  <c r="X241" i="1" s="1"/>
  <c r="Y225" i="1"/>
  <c r="V226" i="1"/>
  <c r="G203" i="1"/>
  <c r="B203" i="1"/>
  <c r="L203" i="1" l="1"/>
  <c r="M203" i="1" s="1"/>
  <c r="N239" i="1" s="1"/>
  <c r="Z241" i="1"/>
  <c r="X242" i="1" s="1"/>
  <c r="W226" i="1"/>
  <c r="G202" i="1"/>
  <c r="B202" i="1"/>
  <c r="L202" i="1" l="1"/>
  <c r="M202" i="1" s="1"/>
  <c r="N238" i="1" s="1"/>
  <c r="Z242" i="1"/>
  <c r="X243" i="1" s="1"/>
  <c r="Z243" i="1" s="1"/>
  <c r="X244" i="1" s="1"/>
  <c r="Y226" i="1"/>
  <c r="V227" i="1"/>
  <c r="G201" i="1"/>
  <c r="B201" i="1"/>
  <c r="L201" i="1" l="1"/>
  <c r="M201" i="1" s="1"/>
  <c r="N237" i="1" s="1"/>
  <c r="Z244" i="1"/>
  <c r="X245" i="1" s="1"/>
  <c r="W227" i="1"/>
  <c r="V228" i="1" s="1"/>
  <c r="G200" i="1"/>
  <c r="G199" i="1"/>
  <c r="L199" i="1" s="1"/>
  <c r="M199" i="1" s="1"/>
  <c r="B200" i="1"/>
  <c r="L200" i="1" l="1"/>
  <c r="M200" i="1" s="1"/>
  <c r="N236" i="1" s="1"/>
  <c r="Z245" i="1"/>
  <c r="X246" i="1" s="1"/>
  <c r="Z246" i="1" s="1"/>
  <c r="X247" i="1" s="1"/>
  <c r="Z247" i="1" s="1"/>
  <c r="X248" i="1" s="1"/>
  <c r="Z248" i="1" s="1"/>
  <c r="X249" i="1" s="1"/>
  <c r="Z249" i="1" s="1"/>
  <c r="X250" i="1" s="1"/>
  <c r="Y227" i="1"/>
  <c r="W228" i="1" s="1"/>
  <c r="B199" i="1"/>
  <c r="N235" i="1"/>
  <c r="Z250" i="1" l="1"/>
  <c r="X251" i="1" s="1"/>
  <c r="Y228" i="1"/>
  <c r="V229" i="1"/>
  <c r="G198" i="1"/>
  <c r="B198" i="1"/>
  <c r="L198" i="1" l="1"/>
  <c r="M198" i="1" s="1"/>
  <c r="N234" i="1" s="1"/>
  <c r="Z251" i="1"/>
  <c r="X252" i="1" s="1"/>
  <c r="Z252" i="1" s="1"/>
  <c r="X253" i="1" s="1"/>
  <c r="W229" i="1"/>
  <c r="Y229" i="1" s="1"/>
  <c r="G197" i="1"/>
  <c r="B197" i="1"/>
  <c r="Z253" i="1" l="1"/>
  <c r="X254" i="1" s="1"/>
  <c r="Z254" i="1" s="1"/>
  <c r="X255" i="1" s="1"/>
  <c r="L197" i="1"/>
  <c r="M197" i="1" s="1"/>
  <c r="N233" i="1" s="1"/>
  <c r="V230" i="1"/>
  <c r="W230" i="1" s="1"/>
  <c r="V231" i="1" s="1"/>
  <c r="G196" i="1"/>
  <c r="G195" i="1"/>
  <c r="L195" i="1" s="1"/>
  <c r="M195" i="1" s="1"/>
  <c r="B196" i="1"/>
  <c r="Z255" i="1" l="1"/>
  <c r="X256" i="1" s="1"/>
  <c r="L196" i="1"/>
  <c r="M196" i="1" s="1"/>
  <c r="N232" i="1" s="1"/>
  <c r="Y230" i="1"/>
  <c r="W231" i="1" s="1"/>
  <c r="Y231" i="1" s="1"/>
  <c r="N231" i="1"/>
  <c r="B195" i="1"/>
  <c r="Z256" i="1" l="1"/>
  <c r="X257" i="1"/>
  <c r="V232" i="1"/>
  <c r="W232" i="1" s="1"/>
  <c r="V233" i="1" s="1"/>
  <c r="G194" i="1"/>
  <c r="B194" i="1"/>
  <c r="Z257" i="1" l="1"/>
  <c r="X258" i="1" s="1"/>
  <c r="Z258" i="1" s="1"/>
  <c r="X259" i="1" s="1"/>
  <c r="L194" i="1"/>
  <c r="M194" i="1" s="1"/>
  <c r="N230" i="1" s="1"/>
  <c r="Y232" i="1"/>
  <c r="W233" i="1" s="1"/>
  <c r="G193" i="1"/>
  <c r="B193" i="1"/>
  <c r="Z259" i="1" l="1"/>
  <c r="X260" i="1"/>
  <c r="Z260" i="1" s="1"/>
  <c r="X261" i="1" s="1"/>
  <c r="L193" i="1"/>
  <c r="M193" i="1" s="1"/>
  <c r="N229" i="1" s="1"/>
  <c r="Y233" i="1"/>
  <c r="V234" i="1"/>
  <c r="G192" i="1"/>
  <c r="B192" i="1"/>
  <c r="Z261" i="1" l="1"/>
  <c r="X262" i="1" s="1"/>
  <c r="L192" i="1"/>
  <c r="M192" i="1" s="1"/>
  <c r="N228" i="1" s="1"/>
  <c r="W234" i="1"/>
  <c r="V235" i="1" s="1"/>
  <c r="G191" i="1"/>
  <c r="B191" i="1"/>
  <c r="Z262" i="1" l="1"/>
  <c r="X263" i="1"/>
  <c r="L191" i="1"/>
  <c r="M191" i="1" s="1"/>
  <c r="N227" i="1" s="1"/>
  <c r="Y234" i="1"/>
  <c r="W235" i="1" s="1"/>
  <c r="G190" i="1"/>
  <c r="G189" i="1"/>
  <c r="L189" i="1" s="1"/>
  <c r="M189" i="1" s="1"/>
  <c r="B190" i="1"/>
  <c r="Z263" i="1" l="1"/>
  <c r="X264" i="1"/>
  <c r="L190" i="1"/>
  <c r="M190" i="1" s="1"/>
  <c r="N226" i="1" s="1"/>
  <c r="Y235" i="1"/>
  <c r="V236" i="1"/>
  <c r="B189" i="1"/>
  <c r="N225" i="1"/>
  <c r="Z264" i="1" l="1"/>
  <c r="X265" i="1"/>
  <c r="W236" i="1"/>
  <c r="G188" i="1"/>
  <c r="G187" i="1"/>
  <c r="L187" i="1" s="1"/>
  <c r="M187" i="1" s="1"/>
  <c r="B188" i="1"/>
  <c r="Z265" i="1" l="1"/>
  <c r="X266" i="1"/>
  <c r="L188" i="1"/>
  <c r="M188" i="1" s="1"/>
  <c r="N224" i="1" s="1"/>
  <c r="Y236" i="1"/>
  <c r="V237" i="1"/>
  <c r="G186" i="1"/>
  <c r="B187" i="1"/>
  <c r="N223" i="1"/>
  <c r="B186" i="1"/>
  <c r="Z266" i="1" l="1"/>
  <c r="X267" i="1"/>
  <c r="Z267" i="1" s="1"/>
  <c r="X268" i="1" s="1"/>
  <c r="Z268" i="1" s="1"/>
  <c r="X269" i="1" s="1"/>
  <c r="Z269" i="1" s="1"/>
  <c r="X270" i="1" s="1"/>
  <c r="Z270" i="1" s="1"/>
  <c r="X271" i="1" s="1"/>
  <c r="L186" i="1"/>
  <c r="M186" i="1" s="1"/>
  <c r="N222" i="1" s="1"/>
  <c r="W237" i="1"/>
  <c r="G185" i="1"/>
  <c r="B185" i="1"/>
  <c r="Z271" i="1" l="1"/>
  <c r="X272" i="1" s="1"/>
  <c r="Z272" i="1" s="1"/>
  <c r="X273" i="1" s="1"/>
  <c r="L185" i="1"/>
  <c r="M185" i="1" s="1"/>
  <c r="N221" i="1" s="1"/>
  <c r="Y237" i="1"/>
  <c r="V238" i="1"/>
  <c r="G184" i="1"/>
  <c r="B184" i="1"/>
  <c r="Z273" i="1" l="1"/>
  <c r="X274" i="1" s="1"/>
  <c r="Z274" i="1" s="1"/>
  <c r="L184" i="1"/>
  <c r="M184" i="1" s="1"/>
  <c r="N220" i="1" s="1"/>
  <c r="W238" i="1"/>
  <c r="G183" i="1"/>
  <c r="B183" i="1"/>
  <c r="L183" i="1" l="1"/>
  <c r="M183" i="1" s="1"/>
  <c r="N219" i="1" s="1"/>
  <c r="Y238" i="1"/>
  <c r="V239" i="1"/>
  <c r="N36" i="1"/>
  <c r="N46" i="1"/>
  <c r="N49" i="1"/>
  <c r="N50" i="1"/>
  <c r="N52" i="1"/>
  <c r="N55" i="1"/>
  <c r="N58" i="1"/>
  <c r="N59" i="1"/>
  <c r="N62" i="1"/>
  <c r="N71" i="1"/>
  <c r="N74" i="1"/>
  <c r="N76" i="1"/>
  <c r="N78" i="1"/>
  <c r="N82" i="1"/>
  <c r="N94" i="1"/>
  <c r="G182" i="1"/>
  <c r="B182" i="1"/>
  <c r="L182" i="1" l="1"/>
  <c r="M182" i="1" s="1"/>
  <c r="N218" i="1" s="1"/>
  <c r="N38" i="1"/>
  <c r="N67" i="1"/>
  <c r="N75" i="1"/>
  <c r="N43" i="1"/>
  <c r="W239" i="1"/>
  <c r="N47" i="1"/>
  <c r="N81" i="1"/>
  <c r="N79" i="1"/>
  <c r="N88" i="1"/>
  <c r="N87" i="1"/>
  <c r="N40" i="1"/>
  <c r="N65" i="1"/>
  <c r="N53" i="1"/>
  <c r="N97" i="1"/>
  <c r="N95" i="1"/>
  <c r="N61" i="1"/>
  <c r="N56" i="1"/>
  <c r="N44" i="1"/>
  <c r="N68" i="1"/>
  <c r="N77" i="1"/>
  <c r="N83" i="1"/>
  <c r="N91" i="1"/>
  <c r="N89" i="1"/>
  <c r="N69" i="1"/>
  <c r="N63" i="1"/>
  <c r="N51" i="1"/>
  <c r="N41" i="1"/>
  <c r="N85" i="1"/>
  <c r="N73" i="1"/>
  <c r="N64" i="1"/>
  <c r="N39" i="1"/>
  <c r="N93" i="1"/>
  <c r="N45" i="1"/>
  <c r="N60" i="1"/>
  <c r="N90" i="1"/>
  <c r="N84" i="1"/>
  <c r="N72" i="1"/>
  <c r="N57" i="1"/>
  <c r="N96" i="1"/>
  <c r="N70" i="1"/>
  <c r="N42" i="1"/>
  <c r="N86" i="1"/>
  <c r="N66" i="1"/>
  <c r="N54" i="1"/>
  <c r="N80" i="1"/>
  <c r="N92" i="1"/>
  <c r="N48" i="1"/>
  <c r="G181" i="1"/>
  <c r="B181" i="1"/>
  <c r="L181" i="1" l="1"/>
  <c r="M181" i="1" s="1"/>
  <c r="N217" i="1" s="1"/>
  <c r="Y239" i="1"/>
  <c r="V240" i="1"/>
  <c r="B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2" i="1"/>
  <c r="N35" i="1"/>
  <c r="W240" i="1" l="1"/>
  <c r="N31" i="1"/>
  <c r="N34" i="1"/>
  <c r="N33" i="1"/>
  <c r="N37" i="1"/>
  <c r="Y240" i="1" l="1"/>
  <c r="V241" i="1"/>
  <c r="I8" i="10"/>
  <c r="I7" i="10"/>
  <c r="I6" i="10"/>
  <c r="I5" i="10"/>
  <c r="I4" i="10"/>
  <c r="I3" i="10"/>
  <c r="G180" i="1"/>
  <c r="L180" i="1" s="1"/>
  <c r="M180" i="1" s="1"/>
  <c r="W241" i="1" l="1"/>
  <c r="N216" i="1"/>
  <c r="G179" i="1"/>
  <c r="L179" i="1" s="1"/>
  <c r="M179" i="1" s="1"/>
  <c r="V242" i="1" l="1"/>
  <c r="Y241" i="1"/>
  <c r="N215" i="1"/>
  <c r="G178" i="1"/>
  <c r="L178" i="1" s="1"/>
  <c r="M178" i="1" s="1"/>
  <c r="W242" i="1" l="1"/>
  <c r="N214" i="1"/>
  <c r="G176" i="1"/>
  <c r="L176" i="1" s="1"/>
  <c r="M176" i="1" s="1"/>
  <c r="G177" i="1"/>
  <c r="L177" i="1" s="1"/>
  <c r="M177" i="1" s="1"/>
  <c r="Y242" i="1" l="1"/>
  <c r="V243" i="1"/>
  <c r="N213" i="1"/>
  <c r="N212" i="1"/>
  <c r="G175" i="1"/>
  <c r="L175" i="1" s="1"/>
  <c r="M175" i="1" s="1"/>
  <c r="W243" i="1" l="1"/>
  <c r="N211" i="1"/>
  <c r="G174" i="1"/>
  <c r="L174" i="1" s="1"/>
  <c r="M174" i="1" s="1"/>
  <c r="Y243" i="1" l="1"/>
  <c r="V244" i="1"/>
  <c r="N210" i="1"/>
  <c r="G173" i="1"/>
  <c r="L173" i="1" s="1"/>
  <c r="M173" i="1" s="1"/>
  <c r="W244" i="1" l="1"/>
  <c r="N209" i="1"/>
  <c r="G172" i="1"/>
  <c r="L172" i="1" s="1"/>
  <c r="M172" i="1" s="1"/>
  <c r="G171" i="1"/>
  <c r="L171" i="1" s="1"/>
  <c r="M171" i="1" s="1"/>
  <c r="Y244" i="1" l="1"/>
  <c r="V245" i="1"/>
  <c r="N207" i="1"/>
  <c r="N208" i="1"/>
  <c r="G170" i="1"/>
  <c r="L170" i="1" l="1"/>
  <c r="M170" i="1" s="1"/>
  <c r="N206" i="1" s="1"/>
  <c r="W245" i="1"/>
  <c r="G169" i="1"/>
  <c r="L169" i="1" l="1"/>
  <c r="M169" i="1" s="1"/>
  <c r="N205" i="1" s="1"/>
  <c r="V246" i="1"/>
  <c r="Y245" i="1"/>
  <c r="G168" i="1"/>
  <c r="L168" i="1" l="1"/>
  <c r="M168" i="1" s="1"/>
  <c r="N204" i="1" s="1"/>
  <c r="W246" i="1"/>
  <c r="G167" i="1"/>
  <c r="L167" i="1" l="1"/>
  <c r="M167" i="1" s="1"/>
  <c r="N203" i="1" s="1"/>
  <c r="V247" i="1"/>
  <c r="Y246" i="1"/>
  <c r="G166" i="1"/>
  <c r="L166" i="1" l="1"/>
  <c r="M166" i="1" s="1"/>
  <c r="N202" i="1" s="1"/>
  <c r="W247" i="1"/>
  <c r="G165" i="1"/>
  <c r="L165" i="1" l="1"/>
  <c r="M165" i="1" s="1"/>
  <c r="N201" i="1" s="1"/>
  <c r="Y247" i="1"/>
  <c r="V248" i="1"/>
  <c r="G164" i="1"/>
  <c r="L164" i="1" l="1"/>
  <c r="M164" i="1" s="1"/>
  <c r="N200" i="1" s="1"/>
  <c r="W248" i="1"/>
  <c r="G163" i="1"/>
  <c r="L163" i="1" l="1"/>
  <c r="M163" i="1" s="1"/>
  <c r="N199" i="1" s="1"/>
  <c r="Y248" i="1"/>
  <c r="V249" i="1"/>
  <c r="G162" i="1"/>
  <c r="L162" i="1" l="1"/>
  <c r="M162" i="1" s="1"/>
  <c r="N198" i="1" s="1"/>
  <c r="W249" i="1"/>
  <c r="G161" i="1"/>
  <c r="L161" i="1" l="1"/>
  <c r="M161" i="1" s="1"/>
  <c r="N197" i="1" s="1"/>
  <c r="V250" i="1"/>
  <c r="Y249" i="1"/>
  <c r="G160" i="1"/>
  <c r="L160" i="1" l="1"/>
  <c r="M160" i="1" s="1"/>
  <c r="N196" i="1" s="1"/>
  <c r="W250" i="1"/>
  <c r="G159" i="1"/>
  <c r="L159" i="1" l="1"/>
  <c r="M159" i="1" s="1"/>
  <c r="N195" i="1" s="1"/>
  <c r="Y250" i="1"/>
  <c r="V251" i="1"/>
  <c r="G158" i="1"/>
  <c r="L158" i="1" s="1"/>
  <c r="M158" i="1" s="1"/>
  <c r="W251" i="1" l="1"/>
  <c r="V252" i="1" s="1"/>
  <c r="N194" i="1"/>
  <c r="G157" i="1"/>
  <c r="L157" i="1" s="1"/>
  <c r="M157" i="1" s="1"/>
  <c r="Y251" i="1" l="1"/>
  <c r="W252" i="1" s="1"/>
  <c r="N193" i="1"/>
  <c r="G156" i="1"/>
  <c r="L156" i="1" s="1"/>
  <c r="M156" i="1" s="1"/>
  <c r="V253" i="1" l="1"/>
  <c r="Y252" i="1"/>
  <c r="N192" i="1"/>
  <c r="G155" i="1"/>
  <c r="L155" i="1" s="1"/>
  <c r="M155" i="1" s="1"/>
  <c r="W253" i="1" l="1"/>
  <c r="N191" i="1"/>
  <c r="G154" i="1"/>
  <c r="L154" i="1" s="1"/>
  <c r="M154" i="1" s="1"/>
  <c r="V254" i="1" l="1"/>
  <c r="Y253" i="1"/>
  <c r="N190" i="1"/>
  <c r="G153" i="1"/>
  <c r="L153" i="1" s="1"/>
  <c r="M153" i="1" s="1"/>
  <c r="W254" i="1" l="1"/>
  <c r="N189" i="1"/>
  <c r="G152" i="1"/>
  <c r="L152" i="1" s="1"/>
  <c r="M152" i="1" s="1"/>
  <c r="Y254" i="1" l="1"/>
  <c r="V255" i="1"/>
  <c r="N188" i="1"/>
  <c r="G151" i="1"/>
  <c r="L151" i="1" s="1"/>
  <c r="M151" i="1" s="1"/>
  <c r="W255" i="1" l="1"/>
  <c r="N187" i="1"/>
  <c r="G150" i="1"/>
  <c r="L150" i="1" s="1"/>
  <c r="M150" i="1" s="1"/>
  <c r="V256" i="1" l="1"/>
  <c r="Y255" i="1"/>
  <c r="N186" i="1"/>
  <c r="G149" i="1"/>
  <c r="L149" i="1" s="1"/>
  <c r="M149" i="1" s="1"/>
  <c r="W256" i="1" l="1"/>
  <c r="N185" i="1"/>
  <c r="G148" i="1"/>
  <c r="L148" i="1" s="1"/>
  <c r="M148" i="1" s="1"/>
  <c r="Y256" i="1" l="1"/>
  <c r="V257" i="1"/>
  <c r="N184" i="1"/>
  <c r="G147" i="1"/>
  <c r="L147" i="1" s="1"/>
  <c r="M147" i="1" s="1"/>
  <c r="W257" i="1" l="1"/>
  <c r="N183" i="1"/>
  <c r="G146" i="1"/>
  <c r="L146" i="1" s="1"/>
  <c r="M146" i="1" s="1"/>
  <c r="Y257" i="1" l="1"/>
  <c r="V258" i="1"/>
  <c r="N182" i="1"/>
  <c r="G145" i="1"/>
  <c r="L145" i="1" s="1"/>
  <c r="M145" i="1" s="1"/>
  <c r="W258" i="1" l="1"/>
  <c r="N181" i="1"/>
  <c r="G144" i="1"/>
  <c r="L144" i="1" s="1"/>
  <c r="M144" i="1" s="1"/>
  <c r="Y258" i="1" l="1"/>
  <c r="V259" i="1"/>
  <c r="N180" i="1"/>
  <c r="G143" i="1"/>
  <c r="L143" i="1" s="1"/>
  <c r="M143" i="1" s="1"/>
  <c r="W259" i="1" l="1"/>
  <c r="N179" i="1"/>
  <c r="G142" i="1"/>
  <c r="L142" i="1" s="1"/>
  <c r="M142" i="1" s="1"/>
  <c r="Y259" i="1" l="1"/>
  <c r="V260" i="1"/>
  <c r="N178" i="1"/>
  <c r="G141" i="1"/>
  <c r="L141" i="1" s="1"/>
  <c r="M141" i="1" s="1"/>
  <c r="W260" i="1" l="1"/>
  <c r="N177" i="1"/>
  <c r="G140" i="1"/>
  <c r="L140" i="1" s="1"/>
  <c r="M140" i="1" s="1"/>
  <c r="Y260" i="1" l="1"/>
  <c r="V261" i="1"/>
  <c r="N176" i="1"/>
  <c r="G139" i="1"/>
  <c r="L139" i="1" s="1"/>
  <c r="M139" i="1" s="1"/>
  <c r="W261" i="1" l="1"/>
  <c r="N175" i="1"/>
  <c r="G138" i="1"/>
  <c r="L138" i="1" s="1"/>
  <c r="M138" i="1" s="1"/>
  <c r="Y261" i="1" l="1"/>
  <c r="V262" i="1"/>
  <c r="N174" i="1"/>
  <c r="G137" i="1"/>
  <c r="L137" i="1" s="1"/>
  <c r="M137" i="1" s="1"/>
  <c r="W262" i="1" l="1"/>
  <c r="V263" i="1" s="1"/>
  <c r="N173" i="1"/>
  <c r="G136" i="1"/>
  <c r="L136" i="1" s="1"/>
  <c r="M136" i="1" s="1"/>
  <c r="Y262" i="1" l="1"/>
  <c r="W263" i="1" s="1"/>
  <c r="V264" i="1" s="1"/>
  <c r="N172" i="1"/>
  <c r="G135" i="1"/>
  <c r="L135" i="1" s="1"/>
  <c r="M135" i="1" s="1"/>
  <c r="G134" i="1"/>
  <c r="L134" i="1" s="1"/>
  <c r="M134" i="1" s="1"/>
  <c r="Y263" i="1" l="1"/>
  <c r="W264" i="1" s="1"/>
  <c r="N170" i="1"/>
  <c r="N171" i="1"/>
  <c r="G133" i="1"/>
  <c r="L133" i="1" s="1"/>
  <c r="M133" i="1" s="1"/>
  <c r="Y264" i="1" l="1"/>
  <c r="V265" i="1"/>
  <c r="N169" i="1"/>
  <c r="G132" i="1"/>
  <c r="L132" i="1" s="1"/>
  <c r="M132" i="1" s="1"/>
  <c r="W265" i="1" l="1"/>
  <c r="N168" i="1"/>
  <c r="G131" i="1"/>
  <c r="L131" i="1" s="1"/>
  <c r="M131" i="1" s="1"/>
  <c r="V266" i="1" l="1"/>
  <c r="Y265" i="1"/>
  <c r="N167" i="1"/>
  <c r="G130" i="1"/>
  <c r="L130" i="1" s="1"/>
  <c r="M130" i="1" s="1"/>
  <c r="W266" i="1" l="1"/>
  <c r="N166" i="1"/>
  <c r="G129" i="1"/>
  <c r="L129" i="1" s="1"/>
  <c r="M129" i="1" s="1"/>
  <c r="Y266" i="1" l="1"/>
  <c r="V267" i="1"/>
  <c r="N165" i="1"/>
  <c r="G128" i="1"/>
  <c r="L128" i="1" s="1"/>
  <c r="M128" i="1" s="1"/>
  <c r="W267" i="1" l="1"/>
  <c r="N164" i="1"/>
  <c r="G127" i="1"/>
  <c r="L127" i="1" s="1"/>
  <c r="M127" i="1" s="1"/>
  <c r="Y267" i="1" l="1"/>
  <c r="V268" i="1"/>
  <c r="N163" i="1"/>
  <c r="G126" i="1"/>
  <c r="L126" i="1" s="1"/>
  <c r="M126" i="1" s="1"/>
  <c r="W268" i="1" l="1"/>
  <c r="N162" i="1"/>
  <c r="G123" i="1"/>
  <c r="L123" i="1" s="1"/>
  <c r="M123" i="1" s="1"/>
  <c r="Y268" i="1" l="1"/>
  <c r="V269" i="1"/>
  <c r="N159" i="1"/>
  <c r="G125" i="1"/>
  <c r="L125" i="1" s="1"/>
  <c r="M125" i="1" s="1"/>
  <c r="W269" i="1" l="1"/>
  <c r="N161" i="1"/>
  <c r="G124" i="1"/>
  <c r="L124" i="1" s="1"/>
  <c r="M124" i="1" s="1"/>
  <c r="V270" i="1" l="1"/>
  <c r="Y269" i="1"/>
  <c r="N160" i="1"/>
  <c r="G122" i="1"/>
  <c r="L122" i="1" s="1"/>
  <c r="M122" i="1" s="1"/>
  <c r="W270" i="1" l="1"/>
  <c r="N158" i="1"/>
  <c r="G121" i="1"/>
  <c r="L121" i="1" s="1"/>
  <c r="M121" i="1" s="1"/>
  <c r="G120" i="1"/>
  <c r="L120" i="1" s="1"/>
  <c r="M120" i="1" s="1"/>
  <c r="G119" i="1"/>
  <c r="L119" i="1" s="1"/>
  <c r="M119" i="1" s="1"/>
  <c r="Y270" i="1" l="1"/>
  <c r="V271" i="1"/>
  <c r="W271" i="1" s="1"/>
  <c r="N155" i="1"/>
  <c r="N156" i="1"/>
  <c r="N157" i="1"/>
  <c r="G118" i="1"/>
  <c r="L118" i="1" s="1"/>
  <c r="M118" i="1" s="1"/>
  <c r="G117" i="1"/>
  <c r="L117" i="1" s="1"/>
  <c r="M117" i="1" s="1"/>
  <c r="G116" i="1"/>
  <c r="L116" i="1" s="1"/>
  <c r="M116" i="1" s="1"/>
  <c r="Y271" i="1" l="1"/>
  <c r="V272" i="1"/>
  <c r="W272" i="1" s="1"/>
  <c r="N152" i="1"/>
  <c r="N153" i="1"/>
  <c r="N154" i="1"/>
  <c r="G115" i="1"/>
  <c r="L115" i="1" s="1"/>
  <c r="M115" i="1" s="1"/>
  <c r="G114" i="1"/>
  <c r="L114" i="1" s="1"/>
  <c r="M114" i="1" s="1"/>
  <c r="G113" i="1"/>
  <c r="L113" i="1" s="1"/>
  <c r="M113" i="1" s="1"/>
  <c r="V273" i="1" l="1"/>
  <c r="Y272" i="1"/>
  <c r="N149" i="1"/>
  <c r="N150" i="1"/>
  <c r="N151" i="1"/>
  <c r="G112" i="1"/>
  <c r="L112" i="1" s="1"/>
  <c r="M112" i="1" s="1"/>
  <c r="W273" i="1" l="1"/>
  <c r="N148" i="1"/>
  <c r="G111" i="1"/>
  <c r="L111" i="1" s="1"/>
  <c r="M111" i="1" s="1"/>
  <c r="G110" i="1"/>
  <c r="L110" i="1" s="1"/>
  <c r="M110" i="1" s="1"/>
  <c r="G109" i="1"/>
  <c r="L109" i="1" s="1"/>
  <c r="M109" i="1" s="1"/>
  <c r="G108" i="1"/>
  <c r="L108" i="1" s="1"/>
  <c r="M108" i="1" s="1"/>
  <c r="G107" i="1"/>
  <c r="L107" i="1" s="1"/>
  <c r="M107" i="1" s="1"/>
  <c r="Y273" i="1" l="1"/>
  <c r="V274" i="1"/>
  <c r="N107" i="1"/>
  <c r="N119" i="1"/>
  <c r="N131" i="1"/>
  <c r="N143" i="1"/>
  <c r="N109" i="1"/>
  <c r="N121" i="1"/>
  <c r="N133" i="1"/>
  <c r="N145" i="1"/>
  <c r="N108" i="1"/>
  <c r="N120" i="1"/>
  <c r="N132" i="1"/>
  <c r="N144" i="1"/>
  <c r="N146" i="1"/>
  <c r="N147" i="1"/>
  <c r="G106" i="1"/>
  <c r="L106" i="1" s="1"/>
  <c r="M106" i="1" s="1"/>
  <c r="G105" i="1"/>
  <c r="L105" i="1" s="1"/>
  <c r="M105" i="1" s="1"/>
  <c r="G104" i="1"/>
  <c r="L104" i="1" s="1"/>
  <c r="M104" i="1" s="1"/>
  <c r="G103" i="1"/>
  <c r="L103" i="1" s="1"/>
  <c r="M103" i="1" s="1"/>
  <c r="G101" i="1"/>
  <c r="L101" i="1" s="1"/>
  <c r="M101" i="1" s="1"/>
  <c r="G102" i="1"/>
  <c r="L102" i="1" s="1"/>
  <c r="M102" i="1" s="1"/>
  <c r="W274" i="1" l="1"/>
  <c r="Y274" i="1" s="1"/>
  <c r="P292" i="1"/>
  <c r="P214" i="1"/>
  <c r="P221" i="1"/>
  <c r="P250" i="1"/>
  <c r="P237" i="1"/>
  <c r="P266" i="1"/>
  <c r="P199" i="1"/>
  <c r="P241" i="1"/>
  <c r="P261" i="1"/>
  <c r="P207" i="1"/>
  <c r="P291" i="1"/>
  <c r="P283" i="1"/>
  <c r="P289" i="1"/>
  <c r="P264" i="1"/>
  <c r="P255" i="1"/>
  <c r="P223" i="1"/>
  <c r="P196" i="1"/>
  <c r="P251" i="1"/>
  <c r="P243" i="1"/>
  <c r="P256" i="1"/>
  <c r="P208" i="1"/>
  <c r="P269" i="1"/>
  <c r="P226" i="1"/>
  <c r="P210" i="1"/>
  <c r="P258" i="1"/>
  <c r="P235" i="1"/>
  <c r="P245" i="1"/>
  <c r="P248" i="1"/>
  <c r="P213" i="1"/>
  <c r="P200" i="1"/>
  <c r="P211" i="1"/>
  <c r="P198" i="1"/>
  <c r="P268" i="1"/>
  <c r="P257" i="1"/>
  <c r="P222" i="1"/>
  <c r="P285" i="1"/>
  <c r="P212" i="1"/>
  <c r="P252" i="1"/>
  <c r="P265" i="1"/>
  <c r="P259" i="1"/>
  <c r="P234" i="1"/>
  <c r="P279" i="1"/>
  <c r="P280" i="1"/>
  <c r="P254" i="1"/>
  <c r="P244" i="1"/>
  <c r="P217" i="1"/>
  <c r="P239" i="1"/>
  <c r="P240" i="1"/>
  <c r="P282" i="1"/>
  <c r="P203" i="1"/>
  <c r="P233" i="1"/>
  <c r="P236" i="1"/>
  <c r="P232" i="1"/>
  <c r="P204" i="1"/>
  <c r="P242" i="1"/>
  <c r="P272" i="1"/>
  <c r="P209" i="1"/>
  <c r="P215" i="1"/>
  <c r="P260" i="1"/>
  <c r="P249" i="1"/>
  <c r="P216" i="1"/>
  <c r="P201" i="1"/>
  <c r="P270" i="1"/>
  <c r="P267" i="1"/>
  <c r="P238" i="1"/>
  <c r="P224" i="1"/>
  <c r="P230" i="1"/>
  <c r="P273" i="1"/>
  <c r="P263" i="1"/>
  <c r="P202" i="1"/>
  <c r="P275" i="1"/>
  <c r="P271" i="1"/>
  <c r="P205" i="1"/>
  <c r="P287" i="1"/>
  <c r="P278" i="1"/>
  <c r="P277" i="1"/>
  <c r="P197" i="1"/>
  <c r="P286" i="1"/>
  <c r="P247" i="1"/>
  <c r="P225" i="1"/>
  <c r="P220" i="1"/>
  <c r="P227" i="1"/>
  <c r="P228" i="1"/>
  <c r="P219" i="1"/>
  <c r="P206" i="1"/>
  <c r="P218" i="1"/>
  <c r="P231" i="1"/>
  <c r="P281" i="1"/>
  <c r="P253" i="1"/>
  <c r="P262" i="1"/>
  <c r="P246" i="1"/>
  <c r="P229" i="1"/>
  <c r="P276" i="1"/>
  <c r="P284" i="1"/>
  <c r="P274" i="1"/>
  <c r="P288" i="1"/>
  <c r="P290" i="1"/>
  <c r="N101" i="1"/>
  <c r="N125" i="1"/>
  <c r="N137" i="1"/>
  <c r="N113" i="1"/>
  <c r="N103" i="1"/>
  <c r="N127" i="1"/>
  <c r="N139" i="1"/>
  <c r="N115" i="1"/>
  <c r="N102" i="1"/>
  <c r="N126" i="1"/>
  <c r="N114" i="1"/>
  <c r="N138" i="1"/>
  <c r="N105" i="1"/>
  <c r="N117" i="1"/>
  <c r="N129" i="1"/>
  <c r="N141" i="1"/>
  <c r="N104" i="1"/>
  <c r="N116" i="1"/>
  <c r="N128" i="1"/>
  <c r="N140" i="1"/>
  <c r="N106" i="1"/>
  <c r="N118" i="1"/>
  <c r="N130" i="1"/>
  <c r="N142" i="1"/>
  <c r="G100" i="1"/>
  <c r="L100" i="1" s="1"/>
  <c r="M100" i="1" s="1"/>
  <c r="G99" i="1"/>
  <c r="L99" i="1" s="1"/>
  <c r="M99" i="1" s="1"/>
  <c r="G98" i="1"/>
  <c r="L98" i="1" s="1"/>
  <c r="M98" i="1" s="1"/>
  <c r="N98" i="1" l="1"/>
  <c r="N110" i="1"/>
  <c r="N134" i="1"/>
  <c r="N122" i="1"/>
  <c r="N99" i="1"/>
  <c r="N111" i="1"/>
  <c r="N135" i="1"/>
  <c r="N123" i="1"/>
  <c r="N100" i="1"/>
  <c r="N112" i="1"/>
  <c r="N124" i="1"/>
  <c r="N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solowola</author>
    <author>Government User</author>
    <author>Adam Sparger</author>
  </authors>
  <commentList>
    <comment ref="G98" authorId="0" shapeId="0" xr:uid="{00000000-0006-0000-0200-000001000000}">
      <text>
        <r>
          <rPr>
            <b/>
            <sz val="8"/>
            <color indexed="81"/>
            <rFont val="Tahoma"/>
            <family val="2"/>
          </rPr>
          <t xml:space="preserve">IW: Enter formula for average and fuel surcharge at the beginning of the  month.  As CP updates the surcharge, add the new surcharge to the formula for the average, e.g.  if the surchage is .01 for the first two weeks of January input "=AVERAGE(.01)".  Then when the surcharge is updated, for exmaple to .02, for the second two weeks of the month input "=AVERAGE(.01,.02)" into the cell. </t>
        </r>
        <r>
          <rPr>
            <sz val="8"/>
            <color indexed="81"/>
            <rFont val="Tahoma"/>
            <family val="2"/>
          </rPr>
          <t xml:space="preserve">
</t>
        </r>
      </text>
    </comment>
    <comment ref="D124" authorId="1" shapeId="0" xr:uid="{00000000-0006-0000-0200-000002000000}">
      <text>
        <r>
          <rPr>
            <b/>
            <sz val="10"/>
            <color indexed="81"/>
            <rFont val="Tahoma"/>
            <family val="2"/>
          </rPr>
          <t>Government User:</t>
        </r>
        <r>
          <rPr>
            <sz val="10"/>
            <color indexed="81"/>
            <rFont val="Tahoma"/>
            <family val="2"/>
          </rPr>
          <t xml:space="preserve">
BNSF institutes a new strike price of $2.50/gal instead of $1.25/gal.</t>
        </r>
      </text>
    </comment>
    <comment ref="Q170" authorId="2" shapeId="0" xr:uid="{00000000-0006-0000-0200-000003000000}">
      <text>
        <r>
          <rPr>
            <b/>
            <sz val="9"/>
            <color indexed="81"/>
            <rFont val="Tahoma"/>
            <family val="2"/>
          </rPr>
          <t>Adam Sparger:</t>
        </r>
        <r>
          <rPr>
            <sz val="9"/>
            <color indexed="81"/>
            <rFont val="Tahoma"/>
            <family val="2"/>
          </rPr>
          <t xml:space="preserve">
New pricing on Ferromex takes effect.  Mexican Government regulation restricts fuel surcharges.  Instead of 29%, now 3.5%, but at higher tariff rate.</t>
        </r>
      </text>
    </comment>
    <comment ref="AB176" authorId="2" shapeId="0" xr:uid="{00000000-0006-0000-0200-000004000000}">
      <text>
        <r>
          <rPr>
            <b/>
            <sz val="9"/>
            <color indexed="81"/>
            <rFont val="Tahoma"/>
            <family val="2"/>
          </rPr>
          <t>Adam Sparger:</t>
        </r>
        <r>
          <rPr>
            <sz val="9"/>
            <color indexed="81"/>
            <rFont val="Tahoma"/>
            <family val="2"/>
          </rPr>
          <t xml:space="preserve">
New pricing on Ferromex takes effect.  Mexican Government regulation restricts fuel surcharges.  Instead of 29%, now 3.5%, but at higher tariff rate.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8F105C4-EF8A-4A24-A218-D89179B6B316}" keepAlive="1" name="Query - Query1" description="Connection to the 'Query1' query in the workbook." type="5" refreshedVersion="8" background="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<sst xmlns="http://schemas.openxmlformats.org/spreadsheetml/2006/main" count="64" uniqueCount="48">
  <si>
    <t>Mileage-based ($/mile)</t>
  </si>
  <si>
    <t>(values prior to Apr 07 are estimates for all railraods except BNSF, for which values prior to Jan 06 are estimates)</t>
  </si>
  <si>
    <t>Starting Jan-09 CP is calculated using average of bi-weekly fuel surcharge</t>
  </si>
  <si>
    <t>Effective January 1, 2015, CSX replaced its Fuel Surcharge Program 8661-C with 8662, that set a new strikeprice for fuel surcharge applications.  Strikeprice was raised from $2.00/gal to $3.75/gal. 8662 expired on Dec 31, 2021 putting 8661-C in effect, reverting the strike price back to $2 on Jan 1, 2022.</t>
  </si>
  <si>
    <t>Effective March 2017, KCS removed the percent of tariff fuel surcharge from it's website. Data provide here since is a calculation from KCSM's Mexican diesel price per liter that matches prior KCS provided data.</t>
  </si>
  <si>
    <t>Effective January 1, 2022, CSX removed the fuel surcharge from its public tariffs. Reported surcharges (above the strikeprice) are still captured here to cover use in contracts.</t>
  </si>
  <si>
    <t>Effective March 3, 2022 CN broke out its fuel surcharge into one applied to intra-Canada movements and one for shipments that originate or terminate in the US or Mexico. The intra-Canada fuel surchages match the prior fuel surcharge collected for January and February 2022. However, the US fuel surcharge is provided here starting with March 2022. For March 2022, the difference between the US fuel surcharge and the intra-Canada fuel surcharge was 2.8 cents. That is, there is an artifactual increase in the CN fuel surcharge in March 2022.</t>
  </si>
  <si>
    <t>Percent of North American Grain Traffic Originated (for weighted average)</t>
  </si>
  <si>
    <t>Year</t>
  </si>
  <si>
    <t>BNSF</t>
  </si>
  <si>
    <t>CN</t>
  </si>
  <si>
    <t>CP</t>
  </si>
  <si>
    <t>CSXT</t>
  </si>
  <si>
    <t>KCS</t>
  </si>
  <si>
    <t>NS</t>
  </si>
  <si>
    <t>UP</t>
  </si>
  <si>
    <t>Total</t>
  </si>
  <si>
    <t>Sum of sum_carloads</t>
  </si>
  <si>
    <t>Column Labels</t>
  </si>
  <si>
    <t>Row Labels</t>
  </si>
  <si>
    <t>CSX</t>
  </si>
  <si>
    <t>Grand Total</t>
  </si>
  <si>
    <t>Date</t>
  </si>
  <si>
    <t>BNSF - 1.25 sp</t>
  </si>
  <si>
    <t>BNSF - 2.50 sp</t>
  </si>
  <si>
    <t>BNSF - 3.25 sp</t>
  </si>
  <si>
    <t>N_America</t>
  </si>
  <si>
    <t>Weighted_Avg</t>
  </si>
  <si>
    <t>3_Yr_Monthly_Avg</t>
  </si>
  <si>
    <t>Figure 3 Filter</t>
  </si>
  <si>
    <t>KCSM</t>
  </si>
  <si>
    <t>FerroMex</t>
  </si>
  <si>
    <t>EIA HDF Price</t>
  </si>
  <si>
    <t>KCSM Percentage Based Reduction on Rate Discount due to fuel price variations</t>
  </si>
  <si>
    <t>KCSM MXP/Liter</t>
  </si>
  <si>
    <t>KCSM/Mile</t>
  </si>
  <si>
    <t>Lower mxp/liter</t>
  </si>
  <si>
    <t>Upper mxp/liter</t>
  </si>
  <si>
    <t>fsc as % of tariff</t>
  </si>
  <si>
    <t>TRUE</t>
  </si>
  <si>
    <t xml:space="preserve">Fuel surcharge ($/mile/railcar) </t>
  </si>
  <si>
    <t xml:space="preserve">3-year monthly average </t>
  </si>
  <si>
    <t>Value</t>
  </si>
  <si>
    <t>Change</t>
  </si>
  <si>
    <t>Text Change</t>
  </si>
  <si>
    <t>Text % Change</t>
  </si>
  <si>
    <t>3-year average</t>
  </si>
  <si>
    <t>BNSF has implemented multiple strike-prices to calculate their fuel surcharge, each captured here in a separate column in the data tab. The average columns use whichever strike-price was in effect for grain tariffs at the time. Prior to March 2011, the strike price was 1.25, after which is was 2.50. In February 2015, BNSF removed the fuel surcharge from its grain tariffs. In January 2022, BNSF began charging a fuel surcharge again, at a strike price of 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</si>
</sst>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409]mmm\-yy;@"/>
    <numFmt numFmtId="166" formatCode="0.000"/>
    <numFmt numFmtId="167" formatCode="0.0000"/>
    <numFmt numFmtId="168" formatCode="&quot;$&quot;#,##0.00"/>
    <numFmt numFmtId="169" formatCode="&quot;$&quot;#,##0.00000"/>
    <numFmt numFmtId="170" formatCode="mmm\-yyyy"/>
  </numFmts>
  <fonts count="21">
    <font>
      <sz val="10"/>
      <name val="Arial"/>
    </font>
    <font>
      <sz val="11"/>
      <color theme="1"/>
      <name val="Calibri"/>
      <family val="2"/>
      <scheme val="minor"/>
    </font>
    <font>
      <sz val="10"/>
      <name val="Arial"/>
      <family val="2"/>
    </font>
    <font>
      <sz val="8"/>
      <name val="Arial"/>
      <family val="2"/>
    </font>
    <font>
      <b/>
      <sz val="10"/>
      <name val="Arial"/>
      <family val="2"/>
    </font>
    <font>
      <sz val="8"/>
      <name val="Times New Roman"/>
      <family val="1"/>
    </font>
    <font>
      <sz val="9"/>
      <name val="Times New Roman"/>
      <family val="1"/>
    </font>
    <font>
      <b/>
      <sz val="11"/>
      <name val="Times New Roman"/>
      <family val="1"/>
    </font>
    <font>
      <b/>
      <sz val="10"/>
      <color indexed="12"/>
      <name val="Arial"/>
      <family val="2"/>
    </font>
    <font>
      <sz val="10"/>
      <color indexed="12"/>
      <name val="Arial"/>
      <family val="2"/>
    </font>
    <font>
      <sz val="8"/>
      <color indexed="81"/>
      <name val="Tahoma"/>
      <family val="2"/>
    </font>
    <font>
      <b/>
      <sz val="8"/>
      <color indexed="81"/>
      <name val="Tahoma"/>
      <family val="2"/>
    </font>
    <font>
      <sz val="10"/>
      <name val="Inherit"/>
    </font>
    <font>
      <sz val="10"/>
      <color indexed="81"/>
      <name val="Tahoma"/>
      <family val="2"/>
    </font>
    <font>
      <b/>
      <sz val="10"/>
      <color indexed="81"/>
      <name val="Tahoma"/>
      <family val="2"/>
    </font>
    <font>
      <sz val="9"/>
      <color indexed="81"/>
      <name val="Tahoma"/>
      <family val="2"/>
    </font>
    <font>
      <b/>
      <sz val="9"/>
      <color indexed="81"/>
      <name val="Tahoma"/>
      <family val="2"/>
    </font>
    <font>
      <b/>
      <sz val="11"/>
      <color theme="1"/>
      <name val="Calibri"/>
      <family val="2"/>
      <scheme val="minor"/>
    </font>
    <font>
      <b/>
      <sz val="10"/>
      <color theme="0"/>
      <name val="Arial"/>
      <family val="2"/>
    </font>
    <font>
      <sz val="10"/>
      <color theme="1"/>
      <name val="Arial"/>
      <family val="2"/>
    </font>
    <font>
      <sz val="10"/>
      <color rgb="FFFF0000"/>
      <name val="Arial"/>
      <family val="2"/>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16">
    <border>
      <left/>
      <right/>
      <top/>
      <bottom/>
      <diagonal/>
    </border>
    <border>
      <left/>
      <right/>
      <top/>
      <bottom style="medium">
        <color indexed="64"/>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theme="0"/>
      </bottom>
      <diagonal/>
    </border>
  </borders>
  <cellStyleXfs count="4">
    <xf numFmtId="0" fontId="0" fillId="0" borderId="0"/>
    <xf numFmtId="9" fontId="2"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67">
    <xf numFmtId="0" fontId="0" fillId="0" borderId="0" xfId="0"/>
    <xf numFmtId="0" fontId="4" fillId="0" borderId="0" xfId="0" applyFont="1"/>
    <xf numFmtId="0" fontId="4" fillId="0" borderId="1" xfId="0" applyFont="1" applyBorder="1"/>
    <xf numFmtId="164" fontId="0" fillId="0" borderId="0" xfId="1" applyNumberFormat="1" applyFont="1"/>
    <xf numFmtId="165" fontId="0" fillId="0" borderId="0" xfId="0" applyNumberFormat="1"/>
    <xf numFmtId="164" fontId="0" fillId="0" borderId="0" xfId="0" applyNumberFormat="1"/>
    <xf numFmtId="2" fontId="0" fillId="0" borderId="0" xfId="0" applyNumberFormat="1"/>
    <xf numFmtId="2" fontId="0" fillId="0" borderId="0" xfId="0" applyNumberFormat="1" applyAlignment="1">
      <alignment horizontal="right"/>
    </xf>
    <xf numFmtId="2" fontId="9" fillId="0" borderId="0" xfId="0" applyNumberFormat="1" applyFont="1" applyAlignment="1">
      <alignment horizontal="right"/>
    </xf>
    <xf numFmtId="167" fontId="9" fillId="0" borderId="0" xfId="0" applyNumberFormat="1" applyFont="1" applyAlignment="1">
      <alignment horizontal="right"/>
    </xf>
    <xf numFmtId="167" fontId="0" fillId="0" borderId="0" xfId="0" applyNumberFormat="1" applyAlignment="1">
      <alignment horizontal="right"/>
    </xf>
    <xf numFmtId="2" fontId="2" fillId="0" borderId="0" xfId="0" applyNumberFormat="1" applyFont="1" applyAlignment="1">
      <alignment horizontal="right"/>
    </xf>
    <xf numFmtId="165" fontId="0" fillId="0" borderId="0" xfId="0" applyNumberFormat="1" applyAlignment="1">
      <alignment horizontal="left"/>
    </xf>
    <xf numFmtId="0" fontId="0" fillId="0" borderId="2" xfId="0" applyBorder="1"/>
    <xf numFmtId="166" fontId="0" fillId="0" borderId="0" xfId="1" applyNumberFormat="1" applyFont="1"/>
    <xf numFmtId="0" fontId="8" fillId="0" borderId="0" xfId="0" applyFont="1"/>
    <xf numFmtId="167" fontId="0" fillId="0" borderId="0" xfId="0" applyNumberFormat="1"/>
    <xf numFmtId="167" fontId="4" fillId="0" borderId="0" xfId="0" applyNumberFormat="1" applyFont="1"/>
    <xf numFmtId="167" fontId="8" fillId="0" borderId="0" xfId="0" applyNumberFormat="1" applyFont="1"/>
    <xf numFmtId="167" fontId="4" fillId="0" borderId="1" xfId="0" applyNumberFormat="1" applyFont="1" applyBorder="1"/>
    <xf numFmtId="167" fontId="12" fillId="0" borderId="0" xfId="0" applyNumberFormat="1" applyFont="1"/>
    <xf numFmtId="167" fontId="2" fillId="0" borderId="0" xfId="0" applyNumberFormat="1" applyFont="1" applyAlignment="1">
      <alignment horizontal="right"/>
    </xf>
    <xf numFmtId="0" fontId="0" fillId="0" borderId="0" xfId="0" pivotButton="1"/>
    <xf numFmtId="167" fontId="0" fillId="2" borderId="0" xfId="0" applyNumberFormat="1" applyFill="1"/>
    <xf numFmtId="165" fontId="4" fillId="0" borderId="1" xfId="0" applyNumberFormat="1" applyFont="1" applyBorder="1"/>
    <xf numFmtId="167" fontId="1" fillId="3" borderId="5" xfId="2" applyNumberFormat="1" applyBorder="1" applyAlignment="1">
      <alignment horizontal="center"/>
    </xf>
    <xf numFmtId="167" fontId="1" fillId="3" borderId="8" xfId="2" applyNumberFormat="1" applyBorder="1" applyAlignment="1">
      <alignment horizontal="center"/>
    </xf>
    <xf numFmtId="168" fontId="1" fillId="3" borderId="3" xfId="2" applyNumberFormat="1" applyBorder="1" applyAlignment="1">
      <alignment horizontal="center"/>
    </xf>
    <xf numFmtId="168" fontId="1" fillId="3" borderId="7" xfId="2" applyNumberFormat="1" applyBorder="1" applyAlignment="1">
      <alignment horizontal="center"/>
    </xf>
    <xf numFmtId="0" fontId="17" fillId="4" borderId="9" xfId="3" applyNumberFormat="1" applyFont="1" applyBorder="1" applyAlignment="1">
      <alignment horizontal="center"/>
    </xf>
    <xf numFmtId="165" fontId="17" fillId="4" borderId="4" xfId="3" applyNumberFormat="1" applyFont="1" applyBorder="1" applyAlignment="1">
      <alignment horizontal="center"/>
    </xf>
    <xf numFmtId="0" fontId="17" fillId="4" borderId="4" xfId="3" applyNumberFormat="1" applyFont="1" applyBorder="1" applyAlignment="1">
      <alignment horizontal="center"/>
    </xf>
    <xf numFmtId="165" fontId="17" fillId="4" borderId="6" xfId="3" applyNumberFormat="1" applyFont="1" applyBorder="1" applyAlignment="1">
      <alignment horizontal="center"/>
    </xf>
    <xf numFmtId="0" fontId="17" fillId="4" borderId="10" xfId="3" applyFont="1" applyBorder="1" applyAlignment="1">
      <alignment horizontal="center"/>
    </xf>
    <xf numFmtId="0" fontId="17" fillId="4" borderId="11" xfId="3" applyFont="1" applyBorder="1" applyAlignment="1">
      <alignment horizontal="center"/>
    </xf>
    <xf numFmtId="9" fontId="0" fillId="0" borderId="0" xfId="1" applyFont="1"/>
    <xf numFmtId="166" fontId="2" fillId="0" borderId="0" xfId="1" applyNumberFormat="1" applyFont="1"/>
    <xf numFmtId="164" fontId="2" fillId="0" borderId="0" xfId="1" applyNumberFormat="1" applyFont="1"/>
    <xf numFmtId="0" fontId="17" fillId="4" borderId="12" xfId="3" applyFont="1" applyBorder="1" applyAlignment="1">
      <alignment horizontal="center"/>
    </xf>
    <xf numFmtId="168" fontId="1" fillId="3" borderId="13" xfId="2" applyNumberFormat="1" applyBorder="1" applyAlignment="1">
      <alignment horizontal="center"/>
    </xf>
    <xf numFmtId="168" fontId="1" fillId="3" borderId="14" xfId="2" applyNumberFormat="1" applyBorder="1" applyAlignment="1">
      <alignment horizontal="center"/>
    </xf>
    <xf numFmtId="169" fontId="0" fillId="0" borderId="0" xfId="1" applyNumberFormat="1" applyFont="1"/>
    <xf numFmtId="167" fontId="1" fillId="3" borderId="13" xfId="2" applyNumberFormat="1" applyBorder="1" applyAlignment="1">
      <alignment horizontal="center"/>
    </xf>
    <xf numFmtId="167" fontId="1" fillId="3" borderId="14" xfId="2" applyNumberFormat="1" applyBorder="1" applyAlignment="1">
      <alignment horizontal="center"/>
    </xf>
    <xf numFmtId="167" fontId="2" fillId="0" borderId="0" xfId="0" applyNumberFormat="1" applyFont="1"/>
    <xf numFmtId="0" fontId="0" fillId="0" borderId="0" xfId="1" applyNumberFormat="1" applyFont="1"/>
    <xf numFmtId="170" fontId="0" fillId="0" borderId="0" xfId="0" applyNumberFormat="1"/>
    <xf numFmtId="2" fontId="19" fillId="7" borderId="15" xfId="1" applyNumberFormat="1" applyFont="1" applyFill="1" applyBorder="1"/>
    <xf numFmtId="2" fontId="19" fillId="6" borderId="15" xfId="1" applyNumberFormat="1" applyFont="1" applyFill="1" applyBorder="1"/>
    <xf numFmtId="0" fontId="19" fillId="6" borderId="15" xfId="1" applyNumberFormat="1" applyFont="1" applyFill="1" applyBorder="1"/>
    <xf numFmtId="166" fontId="0" fillId="0" borderId="0" xfId="0" applyNumberFormat="1"/>
    <xf numFmtId="14" fontId="0" fillId="0" borderId="0" xfId="0" applyNumberFormat="1"/>
    <xf numFmtId="168" fontId="0" fillId="0" borderId="0" xfId="1" applyNumberFormat="1" applyFont="1"/>
    <xf numFmtId="2" fontId="2" fillId="0" borderId="0" xfId="0" applyNumberFormat="1" applyFont="1"/>
    <xf numFmtId="164" fontId="20" fillId="0" borderId="0" xfId="1" applyNumberFormat="1" applyFont="1"/>
    <xf numFmtId="2" fontId="4" fillId="0" borderId="1" xfId="0" applyNumberFormat="1" applyFont="1" applyBorder="1"/>
    <xf numFmtId="0" fontId="6" fillId="0" borderId="0" xfId="0" applyFont="1"/>
    <xf numFmtId="0" fontId="7" fillId="0" borderId="0" xfId="0" applyFont="1"/>
    <xf numFmtId="0" fontId="5" fillId="0" borderId="2" xfId="0" applyFont="1" applyBorder="1"/>
    <xf numFmtId="0" fontId="18" fillId="5" borderId="2" xfId="0" applyFont="1" applyFill="1" applyBorder="1" applyAlignment="1">
      <alignment horizontal="center"/>
    </xf>
    <xf numFmtId="0" fontId="0" fillId="0" borderId="0" xfId="1" applyNumberFormat="1" applyFont="1" applyAlignment="1">
      <alignment horizontal="center" vertical="center"/>
    </xf>
    <xf numFmtId="10" fontId="0" fillId="0" borderId="0" xfId="1" applyNumberFormat="1" applyFont="1" applyAlignment="1">
      <alignment horizontal="center" vertical="center"/>
    </xf>
    <xf numFmtId="0" fontId="0" fillId="0" borderId="0" xfId="0" pivotButton="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0" fontId="18" fillId="5" borderId="0" xfId="0" applyFont="1" applyFill="1" applyAlignment="1">
      <alignment horizontal="center"/>
    </xf>
    <xf numFmtId="0" fontId="2" fillId="0" borderId="0" xfId="0" applyFont="1"/>
  </cellXfs>
  <cellStyles count="4">
    <cellStyle name="20% - Accent1" xfId="2" builtinId="30"/>
    <cellStyle name="40% - Accent1" xfId="3" builtinId="31"/>
    <cellStyle name="Normal" xfId="0" builtinId="0"/>
    <cellStyle name="Percent" xfId="1" builtinId="5"/>
  </cellStyles>
  <dxfs count="55">
    <dxf>
      <font>
        <b val="0"/>
        <i val="0"/>
        <strike val="0"/>
        <condense val="0"/>
        <extend val="0"/>
        <outline val="0"/>
        <shadow val="0"/>
        <u val="none"/>
        <vertAlign val="baseline"/>
        <sz val="10"/>
        <color auto="1"/>
        <name val="Arial"/>
        <scheme val="none"/>
      </font>
    </dxf>
    <dxf>
      <numFmt numFmtId="0" formatCode="Genera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6" formatCode="0.00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6" formatCode="0.00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67" formatCode="0.0000"/>
    </dxf>
    <dxf>
      <fill>
        <patternFill patternType="none">
          <fgColor indexed="64"/>
          <bgColor indexed="65"/>
        </patternFill>
      </fill>
      <alignment horizontal="right" vertical="bottom" textRotation="0" wrapText="0" indent="0" justifyLastLine="0" shrinkToFit="0" readingOrder="0"/>
    </dxf>
    <dxf>
      <numFmt numFmtId="167" formatCode="0.0000"/>
      <fill>
        <patternFill patternType="none">
          <fgColor indexed="64"/>
          <bgColor indexed="65"/>
        </patternFill>
      </fill>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67" formatCode="0.0000"/>
    </dxf>
    <dxf>
      <font>
        <b val="0"/>
        <i val="0"/>
        <strike val="0"/>
        <condense val="0"/>
        <extend val="0"/>
        <outline val="0"/>
        <shadow val="0"/>
        <u val="none"/>
        <vertAlign val="baseline"/>
        <sz val="10"/>
        <color auto="1"/>
        <name val="Inherit"/>
        <scheme val="none"/>
      </font>
    </dxf>
    <dxf>
      <font>
        <b val="0"/>
        <i val="0"/>
        <strike val="0"/>
        <condense val="0"/>
        <extend val="0"/>
        <outline val="0"/>
        <shadow val="0"/>
        <u val="none"/>
        <vertAlign val="baseline"/>
        <sz val="10"/>
        <color auto="1"/>
        <name val="Inherit"/>
        <scheme val="none"/>
      </font>
      <numFmt numFmtId="167" formatCode="0.0000"/>
    </dxf>
    <dxf>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dxf>
    <dxf>
      <numFmt numFmtId="0" formatCode="General"/>
    </dxf>
    <dxf>
      <numFmt numFmtId="165" formatCode="[$-409]mmm\-yy;@"/>
    </dxf>
    <dxf>
      <border outline="0">
        <bottom style="medium">
          <color indexed="64"/>
        </bottom>
      </border>
    </dxf>
    <dxf>
      <font>
        <b/>
        <i val="0"/>
        <strike val="0"/>
        <condense val="0"/>
        <extend val="0"/>
        <outline val="0"/>
        <shadow val="0"/>
        <u val="none"/>
        <vertAlign val="baseline"/>
        <sz val="10"/>
        <color auto="1"/>
        <name val="Arial"/>
        <scheme val="none"/>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E0D3B0"/>
      <rgbColor rgb="00993300"/>
      <rgbColor rgb="00993366"/>
      <rgbColor rgb="00333399"/>
      <rgbColor rgb="00333333"/>
    </indexedColors>
    <mruColors>
      <color rgb="FF006489"/>
      <color rgb="FF5CA2BB"/>
      <color rgb="FF0000FF"/>
      <color rgb="FFFF9900"/>
      <color rgb="FFFFC000"/>
      <color rgb="FFFF7D00"/>
      <color rgb="FF8EB4E3"/>
      <color rgb="FF37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[GTRFigure9.xlsx]GTR Figure!PivotTable4</c:name>
    <c:fmtId val="29"/>
  </c:pivotSource>
  <c:chart>
    <c:autoTitleDeleted val="0"/>
    <c:pivotFmts>
      <c:pivotFmt>
        <c:idx val="0"/>
        <c:spPr>
          <a:solidFill>
            <a:srgbClr val="FF9900"/>
          </a:solidFill>
          <a:ln w="38100">
            <a:noFill/>
          </a:ln>
          <a:effectLst/>
        </c:spPr>
        <c:marker>
          <c:symbol val="none"/>
        </c:marker>
      </c:pivotFmt>
      <c:pivotFmt>
        <c:idx val="1"/>
        <c:spPr>
          <a:solidFill>
            <a:schemeClr val="accent1"/>
          </a:solidFill>
          <a:ln w="25400">
            <a:noFill/>
          </a:ln>
          <a:effectLst/>
        </c:spPr>
        <c:marker>
          <c:symbol val="none"/>
        </c:marker>
      </c:pivotFmt>
      <c:pivotFmt>
        <c:idx val="2"/>
        <c:spPr>
          <a:solidFill>
            <a:schemeClr val="accent1"/>
          </a:solidFill>
          <a:ln w="31750" cap="rnd">
            <a:solidFill>
              <a:srgbClr val="00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F99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31750" cap="rnd">
            <a:solidFill>
              <a:srgbClr val="00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5">
              <a:lumMod val="60000"/>
              <a:lumOff val="40000"/>
            </a:schemeClr>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31750" cap="rnd">
            <a:solidFill>
              <a:schemeClr val="accent5">
                <a:lumMod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lumMod val="60000"/>
              <a:lumOff val="40000"/>
            </a:schemeClr>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31750" cap="rnd">
            <a:solidFill>
              <a:srgbClr val="006489"/>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4667204434281353"/>
          <c:y val="6.1355794094903916E-2"/>
          <c:w val="0.82920186117980799"/>
          <c:h val="0.67767205996738433"/>
        </c:manualLayout>
      </c:layout>
      <c:barChart>
        <c:barDir val="col"/>
        <c:grouping val="clustered"/>
        <c:varyColors val="0"/>
        <c:ser>
          <c:idx val="1"/>
          <c:order val="1"/>
          <c:tx>
            <c:strRef>
              <c:f>'GTR Figure'!$U$3</c:f>
              <c:strCache>
                <c:ptCount val="1"/>
                <c:pt idx="0">
                  <c:v>3-year monthly average </c:v>
                </c:pt>
              </c:strCache>
            </c:strRef>
          </c:tx>
          <c:spPr>
            <a:solidFill>
              <a:schemeClr val="accent5">
                <a:lumMod val="60000"/>
                <a:lumOff val="40000"/>
              </a:schemeClr>
            </a:solidFill>
            <a:ln>
              <a:solidFill>
                <a:schemeClr val="tx1"/>
              </a:solidFill>
            </a:ln>
            <a:effectLst/>
          </c:spPr>
          <c:invertIfNegative val="0"/>
          <c:cat>
            <c:strRef>
              <c:f>'GTR Figure'!$S$4:$S$29</c:f>
              <c:strCache>
                <c:ptCount val="2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pt idx="15">
                  <c:v>Jul-24</c:v>
                </c:pt>
                <c:pt idx="16">
                  <c:v>Aug-24</c:v>
                </c:pt>
                <c:pt idx="17">
                  <c:v>Sep-24</c:v>
                </c:pt>
                <c:pt idx="18">
                  <c:v>Oct-24</c:v>
                </c:pt>
                <c:pt idx="19">
                  <c:v>Nov-24</c:v>
                </c:pt>
                <c:pt idx="20">
                  <c:v>Dec-24</c:v>
                </c:pt>
                <c:pt idx="21">
                  <c:v>Jan-25</c:v>
                </c:pt>
                <c:pt idx="22">
                  <c:v>Feb-25</c:v>
                </c:pt>
                <c:pt idx="23">
                  <c:v>Mar-25</c:v>
                </c:pt>
                <c:pt idx="24">
                  <c:v>Apr-25</c:v>
                </c:pt>
              </c:strCache>
            </c:strRef>
          </c:cat>
          <c:val>
            <c:numRef>
              <c:f>'GTR Figure'!$U$4:$U$29</c:f>
              <c:numCache>
                <c:formatCode>General</c:formatCode>
                <c:ptCount val="25"/>
                <c:pt idx="0">
                  <c:v>0.13746158254438659</c:v>
                </c:pt>
                <c:pt idx="1">
                  <c:v>0.21189641518776672</c:v>
                </c:pt>
                <c:pt idx="2">
                  <c:v>0.2081942378584081</c:v>
                </c:pt>
                <c:pt idx="3">
                  <c:v>0.23946521911135213</c:v>
                </c:pt>
                <c:pt idx="4">
                  <c:v>0.2523403679820132</c:v>
                </c:pt>
                <c:pt idx="5">
                  <c:v>0.23264554995759268</c:v>
                </c:pt>
                <c:pt idx="6">
                  <c:v>0.20463267584337042</c:v>
                </c:pt>
                <c:pt idx="7">
                  <c:v>0.20441033763721014</c:v>
                </c:pt>
                <c:pt idx="8">
                  <c:v>0.22752971847232162</c:v>
                </c:pt>
                <c:pt idx="9">
                  <c:v>0.25869477980257705</c:v>
                </c:pt>
                <c:pt idx="10">
                  <c:v>0.21975390046559204</c:v>
                </c:pt>
                <c:pt idx="11">
                  <c:v>0.22141176892904943</c:v>
                </c:pt>
                <c:pt idx="12">
                  <c:v>0.23973395412375711</c:v>
                </c:pt>
                <c:pt idx="13">
                  <c:v>0.30559218094563367</c:v>
                </c:pt>
                <c:pt idx="14">
                  <c:v>0.29848314700932138</c:v>
                </c:pt>
                <c:pt idx="15">
                  <c:v>0.31919741733637558</c:v>
                </c:pt>
                <c:pt idx="16">
                  <c:v>0.32412495557761029</c:v>
                </c:pt>
                <c:pt idx="17">
                  <c:v>0.31121818897224679</c:v>
                </c:pt>
                <c:pt idx="18">
                  <c:v>0.31725841859760978</c:v>
                </c:pt>
                <c:pt idx="19">
                  <c:v>0.32879128843043548</c:v>
                </c:pt>
                <c:pt idx="20">
                  <c:v>0.34863171317032188</c:v>
                </c:pt>
                <c:pt idx="21">
                  <c:v>0.35729918791661319</c:v>
                </c:pt>
                <c:pt idx="22">
                  <c:v>0.29547537309334482</c:v>
                </c:pt>
                <c:pt idx="23">
                  <c:v>0.28780714846313044</c:v>
                </c:pt>
                <c:pt idx="24">
                  <c:v>0.31182556555425311</c:v>
                </c:pt>
              </c:numCache>
            </c:numRef>
          </c:val>
          <c:extLst>
            <c:ext xmlns:c16="http://schemas.microsoft.com/office/drawing/2014/chart" uri="{C3380CC4-5D6E-409C-BE32-E72D297353CC}">
              <c16:uniqueId val="{00000000-A51F-403A-872C-72244814EF60}"/>
            </c:ext>
          </c:extLst>
        </c:ser>
        <c:dLbls>
          <c:showLegendKey val="0"/>
          <c:showVal val="0"/>
          <c:showCatName val="0"/>
          <c:showSerName val="0"/>
          <c:showPercent val="0"/>
          <c:showBubbleSize val="0"/>
        </c:dLbls>
        <c:gapWidth val="75"/>
        <c:axId val="273431392"/>
        <c:axId val="273431952"/>
      </c:barChart>
      <c:lineChart>
        <c:grouping val="standard"/>
        <c:varyColors val="0"/>
        <c:ser>
          <c:idx val="0"/>
          <c:order val="0"/>
          <c:tx>
            <c:strRef>
              <c:f>'GTR Figure'!$T$3</c:f>
              <c:strCache>
                <c:ptCount val="1"/>
                <c:pt idx="0">
                  <c:v>Fuel surcharge ($/mile/railcar) </c:v>
                </c:pt>
              </c:strCache>
            </c:strRef>
          </c:tx>
          <c:spPr>
            <a:ln w="31750" cap="rnd">
              <a:solidFill>
                <a:srgbClr val="006489"/>
              </a:solidFill>
              <a:round/>
            </a:ln>
            <a:effectLst/>
          </c:spPr>
          <c:marker>
            <c:symbol val="none"/>
          </c:marker>
          <c:cat>
            <c:strRef>
              <c:f>'GTR Figure'!$S$4:$S$29</c:f>
              <c:strCache>
                <c:ptCount val="2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pt idx="15">
                  <c:v>Jul-24</c:v>
                </c:pt>
                <c:pt idx="16">
                  <c:v>Aug-24</c:v>
                </c:pt>
                <c:pt idx="17">
                  <c:v>Sep-24</c:v>
                </c:pt>
                <c:pt idx="18">
                  <c:v>Oct-24</c:v>
                </c:pt>
                <c:pt idx="19">
                  <c:v>Nov-24</c:v>
                </c:pt>
                <c:pt idx="20">
                  <c:v>Dec-24</c:v>
                </c:pt>
                <c:pt idx="21">
                  <c:v>Jan-25</c:v>
                </c:pt>
                <c:pt idx="22">
                  <c:v>Feb-25</c:v>
                </c:pt>
                <c:pt idx="23">
                  <c:v>Mar-25</c:v>
                </c:pt>
                <c:pt idx="24">
                  <c:v>Apr-25</c:v>
                </c:pt>
              </c:strCache>
            </c:strRef>
          </c:cat>
          <c:val>
            <c:numRef>
              <c:f>'GTR Figure'!$T$4:$T$29</c:f>
              <c:numCache>
                <c:formatCode>General</c:formatCode>
                <c:ptCount val="25"/>
                <c:pt idx="0">
                  <c:v>0.36341828638099277</c:v>
                </c:pt>
                <c:pt idx="1">
                  <c:v>0.32250614552397117</c:v>
                </c:pt>
                <c:pt idx="2">
                  <c:v>0.29526619643614765</c:v>
                </c:pt>
                <c:pt idx="3">
                  <c:v>0.25777217691981336</c:v>
                </c:pt>
                <c:pt idx="4">
                  <c:v>0.23669496308867205</c:v>
                </c:pt>
                <c:pt idx="5">
                  <c:v>0.25758743487484093</c:v>
                </c:pt>
                <c:pt idx="6">
                  <c:v>0.35957352227407724</c:v>
                </c:pt>
                <c:pt idx="7">
                  <c:v>0.39379115740347903</c:v>
                </c:pt>
                <c:pt idx="8">
                  <c:v>0.38195265549427238</c:v>
                </c:pt>
                <c:pt idx="9">
                  <c:v>0.32100714682466214</c:v>
                </c:pt>
                <c:pt idx="10">
                  <c:v>0.26382401210177786</c:v>
                </c:pt>
                <c:pt idx="11">
                  <c:v>0.24440722403652593</c:v>
                </c:pt>
                <c:pt idx="12">
                  <c:v>0.2764855475936292</c:v>
                </c:pt>
                <c:pt idx="13">
                  <c:v>0.27530094190595122</c:v>
                </c:pt>
                <c:pt idx="14">
                  <c:v>0.26805546333027375</c:v>
                </c:pt>
                <c:pt idx="15">
                  <c:v>0.23228903000626361</c:v>
                </c:pt>
                <c:pt idx="16">
                  <c:v>0.21241092469085709</c:v>
                </c:pt>
                <c:pt idx="17">
                  <c:v>0.23174420182235758</c:v>
                </c:pt>
                <c:pt idx="18">
                  <c:v>0.2074871556488751</c:v>
                </c:pt>
                <c:pt idx="19">
                  <c:v>0.17752291498422279</c:v>
                </c:pt>
                <c:pt idx="20">
                  <c:v>0.18268348257020961</c:v>
                </c:pt>
                <c:pt idx="21">
                  <c:v>0.16879907848143827</c:v>
                </c:pt>
                <c:pt idx="22">
                  <c:v>0.16663494415198227</c:v>
                </c:pt>
                <c:pt idx="23">
                  <c:v>0.19259745295211678</c:v>
                </c:pt>
                <c:pt idx="24">
                  <c:v>0.19955407222940244</c:v>
                </c:pt>
              </c:numCache>
            </c:numRef>
          </c:val>
          <c:smooth val="0"/>
          <c:extLst>
            <c:ext xmlns:c16="http://schemas.microsoft.com/office/drawing/2014/chart" uri="{C3380CC4-5D6E-409C-BE32-E72D297353CC}">
              <c16:uniqueId val="{00000001-A51F-403A-872C-72244814EF60}"/>
            </c:ext>
          </c:extLst>
        </c:ser>
        <c:dLbls>
          <c:showLegendKey val="0"/>
          <c:showVal val="0"/>
          <c:showCatName val="0"/>
          <c:showSerName val="0"/>
          <c:showPercent val="0"/>
          <c:showBubbleSize val="0"/>
        </c:dLbls>
        <c:marker val="1"/>
        <c:smooth val="0"/>
        <c:axId val="273431392"/>
        <c:axId val="273431952"/>
      </c:lineChart>
      <c:dateAx>
        <c:axId val="273431392"/>
        <c:scaling>
          <c:orientation val="minMax"/>
        </c:scaling>
        <c:delete val="0"/>
        <c:axPos val="b"/>
        <c:numFmt formatCode="General" sourceLinked="1"/>
        <c:majorTickMark val="cross"/>
        <c:minorTickMark val="none"/>
        <c:tickLblPos val="low"/>
        <c:spPr>
          <a:noFill/>
          <a:ln w="9525" cap="flat" cmpd="sng" algn="ctr">
            <a:solidFill>
              <a:sysClr val="windowText" lastClr="000000"/>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Times New Roman" panose="02020603050405020304" pitchFamily="18" charset="0"/>
              </a:defRPr>
            </a:pPr>
            <a:endParaRPr lang="en-US"/>
          </a:p>
        </c:txPr>
        <c:crossAx val="273431952"/>
        <c:crosses val="autoZero"/>
        <c:auto val="0"/>
        <c:lblOffset val="0"/>
        <c:baseTimeUnit val="days"/>
      </c:dateAx>
      <c:valAx>
        <c:axId val="273431952"/>
        <c:scaling>
          <c:orientation val="minMax"/>
          <c:max val="0.60000000000000009"/>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Times New Roman" panose="02020603050405020304" pitchFamily="18" charset="0"/>
                  </a:defRPr>
                </a:pPr>
                <a:r>
                  <a:rPr lang="en-US" sz="1400" b="1" i="0" baseline="0">
                    <a:effectLst/>
                    <a:latin typeface="+mn-lt"/>
                  </a:rPr>
                  <a:t>Dollars per railcar mile</a:t>
                </a:r>
                <a:endParaRPr lang="en-US" sz="1400" b="1">
                  <a:effectLst/>
                  <a:latin typeface="+mn-lt"/>
                </a:endParaRPr>
              </a:p>
              <a:p>
                <a:pPr marL="0" marR="0" lvl="0" indent="0" algn="ctr" defTabSz="914400" rtl="0" eaLnBrk="1" fontAlgn="auto" latinLnBrk="0" hangingPunct="1">
                  <a:lnSpc>
                    <a:spcPct val="100000"/>
                  </a:lnSpc>
                  <a:spcBef>
                    <a:spcPts val="0"/>
                  </a:spcBef>
                  <a:spcAft>
                    <a:spcPts val="0"/>
                  </a:spcAft>
                  <a:buClrTx/>
                  <a:buSzTx/>
                  <a:buFontTx/>
                  <a:buNone/>
                  <a:tabLst/>
                  <a:defRPr sz="1400" b="1">
                    <a:solidFill>
                      <a:sysClr val="windowText" lastClr="000000"/>
                    </a:solidFill>
                    <a:cs typeface="Times New Roman" panose="02020603050405020304" pitchFamily="18" charset="0"/>
                  </a:defRPr>
                </a:pPr>
                <a:endParaRPr lang="en-US" sz="1400" b="1"/>
              </a:p>
            </c:rich>
          </c:tx>
          <c:layout>
            <c:manualLayout>
              <c:xMode val="edge"/>
              <c:yMode val="edge"/>
              <c:x val="1.2006329345221797E-2"/>
              <c:y val="0.10275394702505219"/>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Times New Roman" panose="02020603050405020304" pitchFamily="18" charset="0"/>
                </a:defRPr>
              </a:pPr>
              <a:endParaRPr lang="en-US"/>
            </a:p>
          </c:txPr>
        </c:title>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Times New Roman" panose="02020603050405020304" pitchFamily="18" charset="0"/>
              </a:defRPr>
            </a:pPr>
            <a:endParaRPr lang="en-US"/>
          </a:p>
        </c:txPr>
        <c:crossAx val="273431392"/>
        <c:crosses val="autoZero"/>
        <c:crossBetween val="between"/>
      </c:valAx>
      <c:spPr>
        <a:noFill/>
        <a:ln>
          <a:solidFill>
            <a:schemeClr val="tx1"/>
          </a:solidFill>
        </a:ln>
        <a:effectLst/>
      </c:spPr>
    </c:plotArea>
    <c:legend>
      <c:legendPos val="r"/>
      <c:layout>
        <c:manualLayout>
          <c:xMode val="edge"/>
          <c:yMode val="edge"/>
          <c:x val="0.15824949878792269"/>
          <c:y val="7.8314560106516301E-2"/>
          <c:w val="0.43417237092187433"/>
          <c:h val="0.19216507372129435"/>
        </c:manualLayout>
      </c:layout>
      <c:overlay val="0"/>
      <c:spPr>
        <a:solidFill>
          <a:schemeClr val="bg1">
            <a:lumMod val="95000"/>
          </a:schemeClr>
        </a:solidFill>
        <a:ln>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342900</xdr:colOff>
      <xdr:row>13</xdr:row>
      <xdr:rowOff>22860</xdr:rowOff>
    </xdr:from>
    <xdr:to>
      <xdr:col>7</xdr:col>
      <xdr:colOff>495300</xdr:colOff>
      <xdr:row>14</xdr:row>
      <xdr:rowOff>106680</xdr:rowOff>
    </xdr:to>
    <xdr:sp macro="" textlink="">
      <xdr:nvSpPr>
        <xdr:cNvPr id="2" name="Text Box 1">
          <a:extLst>
            <a:ext uri="{FF2B5EF4-FFF2-40B4-BE49-F238E27FC236}">
              <a16:creationId xmlns:a16="http://schemas.microsoft.com/office/drawing/2014/main" id="{8EA08A51-EB6D-458C-9F22-76437E10592C}"/>
            </a:ext>
          </a:extLst>
        </xdr:cNvPr>
        <xdr:cNvSpPr txBox="1">
          <a:spLocks noChangeArrowheads="1"/>
        </xdr:cNvSpPr>
      </xdr:nvSpPr>
      <xdr:spPr bwMode="auto">
        <a:xfrm>
          <a:off x="3390900" y="2337435"/>
          <a:ext cx="1371600" cy="245745"/>
        </a:xfrm>
        <a:prstGeom prst="rect">
          <a:avLst/>
        </a:prstGeom>
        <a:solidFill>
          <a:srgbClr val="FFFFFF"/>
        </a:solidFill>
        <a:ln w="9525">
          <a:noFill/>
          <a:miter lim="800000"/>
          <a:headEnd/>
          <a:tailEnd/>
        </a:ln>
      </xdr:spPr>
    </xdr:sp>
    <xdr:clientData/>
  </xdr:twoCellAnchor>
  <xdr:twoCellAnchor editAs="absolute">
    <xdr:from>
      <xdr:col>0</xdr:col>
      <xdr:colOff>60959</xdr:colOff>
      <xdr:row>2</xdr:row>
      <xdr:rowOff>130700</xdr:rowOff>
    </xdr:from>
    <xdr:to>
      <xdr:col>10</xdr:col>
      <xdr:colOff>0</xdr:colOff>
      <xdr:row>16</xdr:row>
      <xdr:rowOff>135255</xdr:rowOff>
    </xdr:to>
    <xdr:graphicFrame macro="">
      <xdr:nvGraphicFramePr>
        <xdr:cNvPr id="3" name="Chart 2">
          <a:extLst>
            <a:ext uri="{FF2B5EF4-FFF2-40B4-BE49-F238E27FC236}">
              <a16:creationId xmlns:a16="http://schemas.microsoft.com/office/drawing/2014/main" id="{AEE9B823-78B0-4222-B990-BC710E06FED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sse Gastelle - MRP-AMS" refreshedDate="45720.552536226853" backgroundQuery="1" createdVersion="8" refreshedVersion="8" minRefreshableVersion="3" recordCount="63" xr:uid="{E0A705E6-1D0E-41C8-B855-CB9EF1F2A4E9}">
  <cacheSource type="external" connectionId="1"/>
  <cacheFields count="3">
    <cacheField name="year" numFmtId="0">
      <sharedItems containsSemiMixedTypes="0" containsString="0" containsNumber="1" containsInteger="1" minValue="2017" maxValue="2025" count="9">
        <n v="2022"/>
        <n v="2025"/>
        <n v="2017"/>
        <n v="2021"/>
        <n v="2020"/>
        <n v="2018"/>
        <n v="2024"/>
        <n v="2019"/>
        <n v="2023"/>
      </sharedItems>
    </cacheField>
    <cacheField name="railroad" numFmtId="0">
      <sharedItems count="7">
        <s v="CSX"/>
        <s v="BNSF"/>
        <s v="KCS"/>
        <s v="UP"/>
        <s v="CP"/>
        <s v="CN"/>
        <s v="NS"/>
      </sharedItems>
    </cacheField>
    <cacheField name="sum_carloads" numFmtId="0">
      <sharedItems containsSemiMixedTypes="0" containsString="0" containsNumber="1" containsInteger="1" minValue="4903" maxValue="63545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sse Gastelle - MRP-AMS" refreshedDate="45747.622863310185" createdVersion="5" refreshedVersion="8" minRefreshableVersion="3" recordCount="292" xr:uid="{00000000-000A-0000-FFFF-FFFF0C000000}">
  <cacheSource type="worksheet">
    <worksheetSource name="data"/>
  </cacheSource>
  <cacheFields count="18">
    <cacheField name="Date" numFmtId="165">
      <sharedItems containsSemiMixedTypes="0" containsNonDate="0" containsDate="1" containsString="0" minDate="2001-01-01T00:00:00" maxDate="2025-04-16T00:00:00" count="484">
        <d v="2001-01-15T00:00:00"/>
        <d v="2001-02-15T00:00:00"/>
        <d v="2001-03-15T00:00:00"/>
        <d v="2001-04-15T00:00:00"/>
        <d v="2001-05-15T00:00:00"/>
        <d v="2001-06-15T00:00:00"/>
        <d v="2001-07-15T00:00:00"/>
        <d v="2001-08-15T00:00:00"/>
        <d v="2001-09-15T00:00:00"/>
        <d v="2001-10-15T00:00:00"/>
        <d v="2001-11-15T00:00:00"/>
        <d v="2001-12-15T00:00:00"/>
        <d v="2002-01-15T00:00:00"/>
        <d v="2002-02-15T00:00:00"/>
        <d v="2002-03-15T00:00:00"/>
        <d v="2002-04-15T00:00:00"/>
        <d v="2002-05-15T00:00:00"/>
        <d v="2002-06-15T00:00:00"/>
        <d v="2002-07-15T00:00:00"/>
        <d v="2002-08-15T00:00:00"/>
        <d v="2002-09-15T00:00:00"/>
        <d v="2002-10-15T00:00:00"/>
        <d v="2002-11-15T00:00:00"/>
        <d v="2002-12-15T00:00:00"/>
        <d v="2003-01-15T00:00:00"/>
        <d v="2003-02-15T00:00:00"/>
        <d v="2003-03-15T00:00:00"/>
        <d v="2003-04-15T00:00:00"/>
        <d v="2003-05-15T00:00:00"/>
        <d v="2003-06-15T00:00:00"/>
        <d v="2003-07-15T00:00:00"/>
        <d v="2003-08-15T00:00:00"/>
        <d v="2003-09-15T00:00:00"/>
        <d v="2003-10-15T00:00:00"/>
        <d v="2003-11-15T00:00:00"/>
        <d v="2003-12-15T00:00:00"/>
        <d v="2004-01-15T00:00:00"/>
        <d v="2004-02-15T00:00:00"/>
        <d v="2004-03-15T00:00:00"/>
        <d v="2004-04-15T00:00:00"/>
        <d v="2004-05-15T00:00:00"/>
        <d v="2004-06-15T00:00:00"/>
        <d v="2004-07-15T00:00:00"/>
        <d v="2004-08-15T00:00:00"/>
        <d v="2004-09-15T00:00:00"/>
        <d v="2004-10-15T00:00:00"/>
        <d v="2004-11-15T00:00:00"/>
        <d v="2004-12-15T00:00:00"/>
        <d v="2005-01-15T00:00:00"/>
        <d v="2005-02-15T00:00:00"/>
        <d v="2005-03-15T00:00:00"/>
        <d v="2005-04-15T00:00:00"/>
        <d v="2005-05-15T00:00:00"/>
        <d v="2005-06-15T00:00:00"/>
        <d v="2005-07-15T00:00:00"/>
        <d v="2005-08-15T00:00:00"/>
        <d v="2005-09-15T00:00:00"/>
        <d v="2005-10-15T00:00:00"/>
        <d v="2005-11-15T00:00:00"/>
        <d v="2005-12-15T00:00:00"/>
        <d v="2006-01-15T00:00:00"/>
        <d v="2006-02-15T00:00:00"/>
        <d v="2006-03-15T00:00:00"/>
        <d v="2006-04-15T00:00:00"/>
        <d v="2006-05-15T00:00:00"/>
        <d v="2006-06-15T00:00:00"/>
        <d v="2006-07-15T00:00:00"/>
        <d v="2006-08-15T00:00:00"/>
        <d v="2006-09-15T00:00:00"/>
        <d v="2006-10-15T00:00:00"/>
        <d v="2006-11-15T00:00:00"/>
        <d v="2006-12-15T00:00:00"/>
        <d v="2007-01-15T00:00:00"/>
        <d v="2007-02-15T00:00:00"/>
        <d v="2007-03-15T00:00:00"/>
        <d v="2007-04-15T00:00:00"/>
        <d v="2007-05-15T00:00:00"/>
        <d v="2007-06-15T00:00:00"/>
        <d v="2007-07-15T00:00:00"/>
        <d v="2007-08-15T00:00:00"/>
        <d v="2007-09-15T00:00:00"/>
        <d v="2007-10-15T00:00:00"/>
        <d v="2007-11-15T00:00:00"/>
        <d v="2007-12-15T00:00:00"/>
        <d v="2008-01-15T00:00:00"/>
        <d v="2008-02-15T00:00:00"/>
        <d v="2008-03-15T00:00:00"/>
        <d v="2008-04-15T00:00:00"/>
        <d v="2008-05-15T00:00:00"/>
        <d v="2008-06-15T00:00:00"/>
        <d v="2008-07-15T00:00:00"/>
        <d v="2008-08-15T00:00:00"/>
        <d v="2008-09-15T00:00:00"/>
        <d v="2008-10-15T00:00:00"/>
        <d v="2008-11-15T00:00:00"/>
        <d v="2008-12-15T00:00:00"/>
        <d v="2009-01-15T00:00:00"/>
        <d v="2009-02-15T00:00:00"/>
        <d v="2009-03-15T00:00:00"/>
        <d v="2009-04-15T00:00:00"/>
        <d v="2009-05-15T00:00:00"/>
        <d v="2009-06-15T00:00:00"/>
        <d v="2009-07-15T00:00:00"/>
        <d v="2009-08-15T00:00:00"/>
        <d v="2009-09-15T00:00:00"/>
        <d v="2009-10-15T00:00:00"/>
        <d v="2009-11-15T00:00:00"/>
        <d v="2009-12-15T00:00:00"/>
        <d v="2010-01-15T00:00:00"/>
        <d v="2010-02-15T00:00:00"/>
        <d v="2010-03-15T00:00:00"/>
        <d v="2010-04-15T00:00:00"/>
        <d v="2010-05-15T00:00:00"/>
        <d v="2010-06-15T00:00:00"/>
        <d v="2010-07-15T00:00:00"/>
        <d v="2010-08-15T00:00:00"/>
        <d v="2010-09-15T00:00:00"/>
        <d v="2010-10-15T00:00:00"/>
        <d v="2010-11-15T00:00:00"/>
        <d v="2010-12-15T00:00:00"/>
        <d v="2011-01-15T00:00:00"/>
        <d v="2011-02-15T00:00:00"/>
        <d v="2011-03-15T00:00:00"/>
        <d v="2011-04-15T00:00:00"/>
        <d v="2011-05-15T00:00:00"/>
        <d v="2011-06-15T00:00:00"/>
        <d v="2011-07-15T00:00:00"/>
        <d v="2011-08-15T00:00:00"/>
        <d v="2011-09-15T00:00:00"/>
        <d v="2011-10-15T00:00:00"/>
        <d v="2011-11-15T00:00:00"/>
        <d v="2011-12-15T00:00:00"/>
        <d v="2012-01-15T00:00:00"/>
        <d v="2012-02-15T00:00:00"/>
        <d v="2012-03-15T00:00:00"/>
        <d v="2012-04-15T00:00:00"/>
        <d v="2012-05-15T00:00:00"/>
        <d v="2012-06-15T00:00:00"/>
        <d v="2012-07-15T00:00:00"/>
        <d v="2012-08-15T00:00:00"/>
        <d v="2012-09-15T00:00:00"/>
        <d v="2012-10-15T00:00:00"/>
        <d v="2012-11-15T00:00:00"/>
        <d v="2012-12-15T00:00:00"/>
        <d v="2013-01-15T00:00:00"/>
        <d v="2013-02-15T00:00:00"/>
        <d v="2013-03-15T00:00:00"/>
        <d v="2013-04-15T00:00:00"/>
        <d v="2013-05-15T00:00:00"/>
        <d v="2013-06-15T00:00:00"/>
        <d v="2013-07-15T00:00:00"/>
        <d v="2013-08-15T00:00:00"/>
        <d v="2013-09-15T00:00:00"/>
        <d v="2013-10-15T00:00:00"/>
        <d v="2013-11-15T00:00:00"/>
        <d v="2013-12-15T00:00:00"/>
        <d v="2014-01-15T00:00:00"/>
        <d v="2014-02-15T00:00:00"/>
        <d v="2014-03-15T00:00:00"/>
        <d v="2014-04-15T00:00:00"/>
        <d v="2014-05-15T00:00:00"/>
        <d v="2014-06-15T00:00:00"/>
        <d v="2014-07-15T00:00:00"/>
        <d v="2014-08-15T00:00:00"/>
        <d v="2014-09-15T00:00:00"/>
        <d v="2014-10-15T00:00:00"/>
        <d v="2014-11-15T00:00:00"/>
        <d v="2014-12-15T00:00:00"/>
        <d v="2015-01-15T00:00:00"/>
        <d v="2015-02-15T00:00:00"/>
        <d v="2015-03-15T00:00:00"/>
        <d v="2015-04-15T00:00:00"/>
        <d v="2015-05-15T00:00:00"/>
        <d v="2015-06-15T00:00:00"/>
        <d v="2015-07-15T00:00:00"/>
        <d v="2015-08-15T00:00:00"/>
        <d v="2015-09-15T00:00:00"/>
        <d v="2015-10-15T00:00:00"/>
        <d v="2015-11-15T00:00:00"/>
        <d v="2015-12-15T00:00:00"/>
        <d v="2016-01-15T00:00:00"/>
        <d v="2016-02-15T00:00:00"/>
        <d v="2016-03-15T00:00:00"/>
        <d v="2016-04-15T00:00:00"/>
        <d v="2016-05-15T00:00:00"/>
        <d v="2016-06-15T00:00:00"/>
        <d v="2016-07-15T00:00:00"/>
        <d v="2016-08-15T00:00:00"/>
        <d v="2016-09-15T00:00:00"/>
        <d v="2016-10-15T00:00:00"/>
        <d v="2016-11-15T00:00:00"/>
        <d v="2016-12-15T00:00:00"/>
        <d v="2017-01-15T00:00:00"/>
        <d v="2017-02-15T00:00:00"/>
        <d v="2017-03-15T00:00:00"/>
        <d v="2017-04-15T00:00:00"/>
        <d v="2017-05-15T00:00:00"/>
        <d v="2017-06-15T00:00:00"/>
        <d v="2017-07-15T00:00:00"/>
        <d v="2017-08-15T00:00:00"/>
        <d v="2017-09-15T00:00:00"/>
        <d v="2017-10-15T00:00:00"/>
        <d v="2017-11-15T00:00:00"/>
        <d v="2017-12-15T00:00:00"/>
        <d v="2018-01-15T00:00:00"/>
        <d v="2018-02-15T00:00:00"/>
        <d v="2018-03-15T00:00:00"/>
        <d v="2018-04-15T00:00:00"/>
        <d v="2018-05-15T00:00:00"/>
        <d v="2018-06-15T00:00:00"/>
        <d v="2018-07-15T00:00:00"/>
        <d v="2018-08-15T00:00:00"/>
        <d v="2018-09-15T00:00:00"/>
        <d v="2018-10-15T00:00:00"/>
        <d v="2018-11-15T00:00:00"/>
        <d v="2018-12-15T00:00:00"/>
        <d v="2019-01-15T00:00:00"/>
        <d v="2019-02-15T00:00:00"/>
        <d v="2019-03-15T00:00:00"/>
        <d v="2019-04-15T00:00:00"/>
        <d v="2019-05-15T00:00:00"/>
        <d v="2019-06-15T00:00:00"/>
        <d v="2019-07-15T00:00:00"/>
        <d v="2019-08-15T00:00:00"/>
        <d v="2019-09-15T00:00:00"/>
        <d v="2019-10-15T00:00:00"/>
        <d v="2019-11-15T00:00:00"/>
        <d v="2019-12-15T00:00:00"/>
        <d v="2020-01-15T00:00:00"/>
        <d v="2020-02-15T00:00:00"/>
        <d v="2020-03-15T00:00:00"/>
        <d v="2020-04-15T00:00:00"/>
        <d v="2020-05-15T00:00:00"/>
        <d v="2020-06-15T00:00:00"/>
        <d v="2020-07-15T00:00:00"/>
        <d v="2020-08-15T00:00:00"/>
        <d v="2020-09-15T00:00:00"/>
        <d v="2020-10-15T00:00:00"/>
        <d v="2020-11-15T00:00:00"/>
        <d v="2020-12-15T00:00:00"/>
        <d v="2021-01-15T00:00:00"/>
        <d v="2021-02-15T00:00:00"/>
        <d v="2021-03-15T00:00:00"/>
        <d v="2021-04-15T00:00:00"/>
        <d v="2021-05-15T00:00:00"/>
        <d v="2021-06-15T00:00:00"/>
        <d v="2021-07-15T00:00:00"/>
        <d v="2021-08-15T00:00:00"/>
        <d v="2021-09-15T00:00:00"/>
        <d v="2021-10-15T00:00:00"/>
        <d v="2021-11-15T00:00:00"/>
        <d v="2021-12-15T00:00:00"/>
        <d v="2022-01-15T00:00:00"/>
        <d v="2022-02-15T00:00:00"/>
        <d v="2022-03-15T00:00:00"/>
        <d v="2022-04-15T00:00:00"/>
        <d v="2022-05-15T00:00:00"/>
        <d v="2022-06-15T00:00:00"/>
        <d v="2022-07-15T00:00:00"/>
        <d v="2022-08-15T00:00:00"/>
        <d v="2022-09-15T00:00:00"/>
        <d v="2022-10-15T00:00:00"/>
        <d v="2022-11-15T00:00:00"/>
        <d v="2022-12-15T00:00:00"/>
        <d v="2023-01-15T00:00:00"/>
        <d v="2023-02-15T00:00:00"/>
        <d v="2023-03-15T00:00:00"/>
        <d v="2023-04-15T00:00:00"/>
        <d v="2023-05-15T00:00:00"/>
        <d v="2023-06-15T00:00:00"/>
        <d v="2023-07-15T00:00:00"/>
        <d v="2023-08-15T00:00:00"/>
        <d v="2023-09-15T00:00:00"/>
        <d v="2023-10-15T00:00:00"/>
        <d v="2023-11-15T00:00:00"/>
        <d v="2023-12-15T00:00:00"/>
        <d v="2024-01-15T00:00:00"/>
        <d v="2024-02-15T00:00:00"/>
        <d v="2024-03-15T00:00:00"/>
        <d v="2024-04-15T00:00:00"/>
        <d v="2024-05-15T00:00:00"/>
        <d v="2024-06-15T00:00:00"/>
        <d v="2024-07-15T00:00:00"/>
        <d v="2024-08-15T00:00:00"/>
        <d v="2024-09-15T00:00:00"/>
        <d v="2024-10-15T00:00:00"/>
        <d v="2024-11-15T00:00:00"/>
        <d v="2024-12-15T00:00:00"/>
        <d v="2025-01-15T00:00:00"/>
        <d v="2025-02-15T00:00:00"/>
        <d v="2025-03-15T00:00:00"/>
        <d v="2025-04-15T00:00:00"/>
        <d v="2016-11-16T00:00:00" u="1"/>
        <d v="2001-01-01T00:00:00" u="1"/>
        <d v="2002-01-01T00:00:00" u="1"/>
        <d v="2003-01-01T00:00:00" u="1"/>
        <d v="2004-01-01T00:00:00" u="1"/>
        <d v="2005-01-01T00:00:00" u="1"/>
        <d v="2006-01-01T00:00:00" u="1"/>
        <d v="2007-01-01T00:00:00" u="1"/>
        <d v="2008-01-01T00:00:00" u="1"/>
        <d v="2009-01-01T00:00:00" u="1"/>
        <d v="2010-01-01T00:00:00" u="1"/>
        <d v="2011-01-01T00:00:00" u="1"/>
        <d v="2012-01-01T00:00:00" u="1"/>
        <d v="2013-01-01T00:00:00" u="1"/>
        <d v="2014-01-01T00:00:00" u="1"/>
        <d v="2015-01-01T00:00:00" u="1"/>
        <d v="2016-01-01T00:00:00" u="1"/>
        <d v="2001-02-01T00:00:00" u="1"/>
        <d v="2002-02-01T00:00:00" u="1"/>
        <d v="2003-02-01T00:00:00" u="1"/>
        <d v="2004-02-01T00:00:00" u="1"/>
        <d v="2005-02-01T00:00:00" u="1"/>
        <d v="2006-02-01T00:00:00" u="1"/>
        <d v="2007-02-01T00:00:00" u="1"/>
        <d v="2008-02-01T00:00:00" u="1"/>
        <d v="2009-02-01T00:00:00" u="1"/>
        <d v="2010-02-01T00:00:00" u="1"/>
        <d v="2011-02-01T00:00:00" u="1"/>
        <d v="2012-02-01T00:00:00" u="1"/>
        <d v="2013-02-01T00:00:00" u="1"/>
        <d v="2014-02-01T00:00:00" u="1"/>
        <d v="2015-02-01T00:00:00" u="1"/>
        <d v="2016-02-01T00:00:00" u="1"/>
        <d v="2001-03-01T00:00:00" u="1"/>
        <d v="2002-03-01T00:00:00" u="1"/>
        <d v="2003-03-01T00:00:00" u="1"/>
        <d v="2004-03-01T00:00:00" u="1"/>
        <d v="2005-03-01T00:00:00" u="1"/>
        <d v="2006-03-01T00:00:00" u="1"/>
        <d v="2007-03-01T00:00:00" u="1"/>
        <d v="2008-03-01T00:00:00" u="1"/>
        <d v="2009-03-01T00:00:00" u="1"/>
        <d v="2010-03-01T00:00:00" u="1"/>
        <d v="2011-03-01T00:00:00" u="1"/>
        <d v="2012-03-01T00:00:00" u="1"/>
        <d v="2013-03-01T00:00:00" u="1"/>
        <d v="2014-03-01T00:00:00" u="1"/>
        <d v="2015-03-01T00:00:00" u="1"/>
        <d v="2016-03-01T00:00:00" u="1"/>
        <d v="2001-04-01T00:00:00" u="1"/>
        <d v="2002-04-01T00:00:00" u="1"/>
        <d v="2003-04-01T00:00:00" u="1"/>
        <d v="2004-04-01T00:00:00" u="1"/>
        <d v="2005-04-01T00:00:00" u="1"/>
        <d v="2006-04-01T00:00:00" u="1"/>
        <d v="2007-04-01T00:00:00" u="1"/>
        <d v="2008-04-01T00:00:00" u="1"/>
        <d v="2009-04-01T00:00:00" u="1"/>
        <d v="2010-04-01T00:00:00" u="1"/>
        <d v="2011-04-01T00:00:00" u="1"/>
        <d v="2012-04-01T00:00:00" u="1"/>
        <d v="2013-04-01T00:00:00" u="1"/>
        <d v="2014-04-01T00:00:00" u="1"/>
        <d v="2015-04-01T00:00:00" u="1"/>
        <d v="2016-04-01T00:00:00" u="1"/>
        <d v="2001-05-01T00:00:00" u="1"/>
        <d v="2002-05-01T00:00:00" u="1"/>
        <d v="2003-05-01T00:00:00" u="1"/>
        <d v="2004-05-01T00:00:00" u="1"/>
        <d v="2005-05-01T00:00:00" u="1"/>
        <d v="2006-05-01T00:00:00" u="1"/>
        <d v="2007-05-01T00:00:00" u="1"/>
        <d v="2008-05-01T00:00:00" u="1"/>
        <d v="2009-05-01T00:00:00" u="1"/>
        <d v="2010-05-01T00:00:00" u="1"/>
        <d v="2011-05-01T00:00:00" u="1"/>
        <d v="2012-05-01T00:00:00" u="1"/>
        <d v="2013-05-01T00:00:00" u="1"/>
        <d v="2014-05-01T00:00:00" u="1"/>
        <d v="2015-05-01T00:00:00" u="1"/>
        <d v="2016-05-01T00:00:00" u="1"/>
        <d v="2001-06-01T00:00:00" u="1"/>
        <d v="2002-06-01T00:00:00" u="1"/>
        <d v="2003-06-01T00:00:00" u="1"/>
        <d v="2004-06-01T00:00:00" u="1"/>
        <d v="2005-06-01T00:00:00" u="1"/>
        <d v="2006-06-01T00:00:00" u="1"/>
        <d v="2007-06-01T00:00:00" u="1"/>
        <d v="2008-06-01T00:00:00" u="1"/>
        <d v="2009-06-01T00:00:00" u="1"/>
        <d v="2010-06-01T00:00:00" u="1"/>
        <d v="2011-06-01T00:00:00" u="1"/>
        <d v="2012-06-01T00:00:00" u="1"/>
        <d v="2013-06-01T00:00:00" u="1"/>
        <d v="2014-06-01T00:00:00" u="1"/>
        <d v="2015-06-01T00:00:00" u="1"/>
        <d v="2016-06-01T00:00:00" u="1"/>
        <d v="2001-07-01T00:00:00" u="1"/>
        <d v="2002-07-01T00:00:00" u="1"/>
        <d v="2003-07-01T00:00:00" u="1"/>
        <d v="2004-07-01T00:00:00" u="1"/>
        <d v="2005-07-01T00:00:00" u="1"/>
        <d v="2006-07-01T00:00:00" u="1"/>
        <d v="2007-07-01T00:00:00" u="1"/>
        <d v="2008-07-01T00:00:00" u="1"/>
        <d v="2009-07-01T00:00:00" u="1"/>
        <d v="2010-07-01T00:00:00" u="1"/>
        <d v="2011-07-01T00:00:00" u="1"/>
        <d v="2012-07-01T00:00:00" u="1"/>
        <d v="2013-07-01T00:00:00" u="1"/>
        <d v="2014-07-01T00:00:00" u="1"/>
        <d v="2015-07-01T00:00:00" u="1"/>
        <d v="2016-07-01T00:00:00" u="1"/>
        <d v="2001-08-01T00:00:00" u="1"/>
        <d v="2002-08-01T00:00:00" u="1"/>
        <d v="2003-08-01T00:00:00" u="1"/>
        <d v="2004-08-01T00:00:00" u="1"/>
        <d v="2005-08-01T00:00:00" u="1"/>
        <d v="2006-08-01T00:00:00" u="1"/>
        <d v="2007-08-01T00:00:00" u="1"/>
        <d v="2008-08-01T00:00:00" u="1"/>
        <d v="2009-08-01T00:00:00" u="1"/>
        <d v="2010-08-01T00:00:00" u="1"/>
        <d v="2011-08-01T00:00:00" u="1"/>
        <d v="2012-08-01T00:00:00" u="1"/>
        <d v="2013-08-01T00:00:00" u="1"/>
        <d v="2014-08-01T00:00:00" u="1"/>
        <d v="2015-08-01T00:00:00" u="1"/>
        <d v="2016-08-01T00:00:00" u="1"/>
        <d v="2001-09-01T00:00:00" u="1"/>
        <d v="2002-09-01T00:00:00" u="1"/>
        <d v="2003-09-01T00:00:00" u="1"/>
        <d v="2004-09-01T00:00:00" u="1"/>
        <d v="2005-09-01T00:00:00" u="1"/>
        <d v="2006-09-01T00:00:00" u="1"/>
        <d v="2007-09-01T00:00:00" u="1"/>
        <d v="2008-09-01T00:00:00" u="1"/>
        <d v="2009-09-01T00:00:00" u="1"/>
        <d v="2010-09-01T00:00:00" u="1"/>
        <d v="2011-09-01T00:00:00" u="1"/>
        <d v="2012-09-01T00:00:00" u="1"/>
        <d v="2013-09-01T00:00:00" u="1"/>
        <d v="2014-09-01T00:00:00" u="1"/>
        <d v="2015-09-01T00:00:00" u="1"/>
        <d v="2016-09-01T00:00:00" u="1"/>
        <d v="2001-10-01T00:00:00" u="1"/>
        <d v="2002-10-01T00:00:00" u="1"/>
        <d v="2003-10-01T00:00:00" u="1"/>
        <d v="2004-10-01T00:00:00" u="1"/>
        <d v="2005-10-01T00:00:00" u="1"/>
        <d v="2006-10-01T00:00:00" u="1"/>
        <d v="2007-10-01T00:00:00" u="1"/>
        <d v="2008-10-01T00:00:00" u="1"/>
        <d v="2009-10-01T00:00:00" u="1"/>
        <d v="2010-10-01T00:00:00" u="1"/>
        <d v="2011-10-01T00:00:00" u="1"/>
        <d v="2012-10-01T00:00:00" u="1"/>
        <d v="2013-10-01T00:00:00" u="1"/>
        <d v="2014-10-01T00:00:00" u="1"/>
        <d v="2015-10-01T00:00:00" u="1"/>
        <d v="2016-10-01T00:00:00" u="1"/>
        <d v="2001-11-01T00:00:00" u="1"/>
        <d v="2002-11-01T00:00:00" u="1"/>
        <d v="2003-11-01T00:00:00" u="1"/>
        <d v="2004-11-01T00:00:00" u="1"/>
        <d v="2005-11-01T00:00:00" u="1"/>
        <d v="2006-11-01T00:00:00" u="1"/>
        <d v="2007-11-01T00:00:00" u="1"/>
        <d v="2008-11-01T00:00:00" u="1"/>
        <d v="2009-11-01T00:00:00" u="1"/>
        <d v="2010-11-01T00:00:00" u="1"/>
        <d v="2011-11-01T00:00:00" u="1"/>
        <d v="2012-11-01T00:00:00" u="1"/>
        <d v="2013-11-01T00:00:00" u="1"/>
        <d v="2014-11-01T00:00:00" u="1"/>
        <d v="2015-11-01T00:00:00" u="1"/>
        <d v="2016-11-01T00:00:00" u="1"/>
        <d v="2001-12-01T00:00:00" u="1"/>
        <d v="2002-12-01T00:00:00" u="1"/>
        <d v="2003-12-01T00:00:00" u="1"/>
        <d v="2004-12-01T00:00:00" u="1"/>
        <d v="2005-12-01T00:00:00" u="1"/>
        <d v="2006-12-01T00:00:00" u="1"/>
        <d v="2007-12-01T00:00:00" u="1"/>
        <d v="2008-12-01T00:00:00" u="1"/>
        <d v="2009-12-01T00:00:00" u="1"/>
        <d v="2010-12-01T00:00:00" u="1"/>
        <d v="2011-12-01T00:00:00" u="1"/>
        <d v="2012-12-01T00:00:00" u="1"/>
        <d v="2013-12-01T00:00:00" u="1"/>
        <d v="2014-12-01T00:00:00" u="1"/>
        <d v="2015-12-01T00:00:00" u="1"/>
      </sharedItems>
    </cacheField>
    <cacheField name="Year" numFmtId="0">
      <sharedItems containsSemiMixedTypes="0" containsString="0" containsNumber="1" containsInteger="1" minValue="2001" maxValue="2025"/>
    </cacheField>
    <cacheField name="BNSF - 1.25 sp" numFmtId="2">
      <sharedItems containsString="0" containsBlank="1" containsNumber="1" minValue="0" maxValue="1.1299999999999999"/>
    </cacheField>
    <cacheField name="BNSF - 2.50 sp" numFmtId="2">
      <sharedItems containsString="0" containsBlank="1" containsNumber="1" minValue="-0.33" maxValue="0.82"/>
    </cacheField>
    <cacheField name="BNSF - 3.25 sp" numFmtId="2">
      <sharedItems containsString="0" containsBlank="1" containsNumber="1" minValue="0" maxValue="0.63"/>
    </cacheField>
    <cacheField name="CN" numFmtId="167">
      <sharedItems containsSemiMixedTypes="0" containsString="0" containsNumber="1" minValue="0" maxValue="0.90300000000000002"/>
    </cacheField>
    <cacheField name="CP" numFmtId="167">
      <sharedItems containsSemiMixedTypes="0" containsString="0" containsNumber="1" minValue="0" maxValue="0.71499999999999997"/>
    </cacheField>
    <cacheField name="CSXT" numFmtId="2">
      <sharedItems containsSemiMixedTypes="0" containsString="0" containsNumber="1" minValue="0" maxValue="0.94"/>
    </cacheField>
    <cacheField name="KCS" numFmtId="0">
      <sharedItems containsSemiMixedTypes="0" containsString="0" containsNumber="1" minValue="0" maxValue="0.91"/>
    </cacheField>
    <cacheField name="NS" numFmtId="2">
      <sharedItems containsSemiMixedTypes="0" containsString="0" containsNumber="1" containsInteger="1" minValue="0" maxValue="0"/>
    </cacheField>
    <cacheField name="UP" numFmtId="0">
      <sharedItems containsSemiMixedTypes="0" containsString="0" containsNumber="1" minValue="0" maxValue="0.74"/>
    </cacheField>
    <cacheField name="N_America" numFmtId="167">
      <sharedItems containsMixedTypes="1" containsNumber="1" minValue="0" maxValue="0.6865"/>
    </cacheField>
    <cacheField name="Weighted_Avg" numFmtId="167">
      <sharedItems containsMixedTypes="1" containsNumber="1" minValue="0" maxValue="0.6442653130592928"/>
    </cacheField>
    <cacheField name="3_Yr_Monthly_Avg" numFmtId="166">
      <sharedItems containsMixedTypes="1" containsNumber="1" minValue="9.4152400000000001E-3" maxValue="0.37084222398461719"/>
    </cacheField>
    <cacheField name="Figure 3 Filter" numFmtId="0">
      <sharedItems count="2">
        <b v="0"/>
        <b v="1"/>
      </sharedItems>
    </cacheField>
    <cacheField name="KCSM" numFmtId="0">
      <sharedItems containsString="0" containsBlank="1" containsNumber="1" minValue="0.05" maxValue="0.64999999999999591"/>
    </cacheField>
    <cacheField name="FerroMex" numFmtId="0">
      <sharedItems containsString="0" containsBlank="1" containsNumber="1" minValue="0.03" maxValue="0.39"/>
    </cacheField>
    <cacheField name="EIA HDF Price" numFmtId="0">
      <sharedItems containsString="0" containsBlank="1" containsNumber="1" minValue="1.1519999999999999" maxValue="5.753999999999999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3">
  <r>
    <x v="0"/>
    <x v="0"/>
    <n v="93313"/>
  </r>
  <r>
    <x v="1"/>
    <x v="0"/>
    <n v="13974"/>
  </r>
  <r>
    <x v="2"/>
    <x v="1"/>
    <n v="456365"/>
  </r>
  <r>
    <x v="1"/>
    <x v="2"/>
    <n v="4903"/>
  </r>
  <r>
    <x v="0"/>
    <x v="3"/>
    <n v="296945"/>
  </r>
  <r>
    <x v="0"/>
    <x v="2"/>
    <n v="39827"/>
  </r>
  <r>
    <x v="3"/>
    <x v="4"/>
    <n v="101212"/>
  </r>
  <r>
    <x v="4"/>
    <x v="1"/>
    <n v="613630"/>
  </r>
  <r>
    <x v="5"/>
    <x v="0"/>
    <n v="98978"/>
  </r>
  <r>
    <x v="6"/>
    <x v="2"/>
    <n v="44741"/>
  </r>
  <r>
    <x v="7"/>
    <x v="3"/>
    <n v="260269"/>
  </r>
  <r>
    <x v="7"/>
    <x v="1"/>
    <n v="568369"/>
  </r>
  <r>
    <x v="5"/>
    <x v="3"/>
    <n v="267713"/>
  </r>
  <r>
    <x v="2"/>
    <x v="3"/>
    <n v="221902"/>
  </r>
  <r>
    <x v="7"/>
    <x v="5"/>
    <n v="60177"/>
  </r>
  <r>
    <x v="4"/>
    <x v="3"/>
    <n v="296701"/>
  </r>
  <r>
    <x v="8"/>
    <x v="1"/>
    <n v="491129"/>
  </r>
  <r>
    <x v="3"/>
    <x v="0"/>
    <n v="93935"/>
  </r>
  <r>
    <x v="0"/>
    <x v="6"/>
    <n v="130229"/>
  </r>
  <r>
    <x v="0"/>
    <x v="4"/>
    <n v="99471"/>
  </r>
  <r>
    <x v="1"/>
    <x v="6"/>
    <n v="23499"/>
  </r>
  <r>
    <x v="8"/>
    <x v="4"/>
    <n v="85091"/>
  </r>
  <r>
    <x v="0"/>
    <x v="1"/>
    <n v="570232"/>
  </r>
  <r>
    <x v="5"/>
    <x v="4"/>
    <n v="100024"/>
  </r>
  <r>
    <x v="4"/>
    <x v="2"/>
    <n v="32779"/>
  </r>
  <r>
    <x v="6"/>
    <x v="5"/>
    <n v="58512"/>
  </r>
  <r>
    <x v="5"/>
    <x v="5"/>
    <n v="56530"/>
  </r>
  <r>
    <x v="6"/>
    <x v="3"/>
    <n v="279532"/>
  </r>
  <r>
    <x v="3"/>
    <x v="5"/>
    <n v="66547"/>
  </r>
  <r>
    <x v="5"/>
    <x v="1"/>
    <n v="635458"/>
  </r>
  <r>
    <x v="2"/>
    <x v="0"/>
    <n v="67790"/>
  </r>
  <r>
    <x v="2"/>
    <x v="4"/>
    <n v="83037"/>
  </r>
  <r>
    <x v="5"/>
    <x v="6"/>
    <n v="133064"/>
  </r>
  <r>
    <x v="2"/>
    <x v="2"/>
    <n v="21968"/>
  </r>
  <r>
    <x v="8"/>
    <x v="3"/>
    <n v="273672"/>
  </r>
  <r>
    <x v="1"/>
    <x v="3"/>
    <n v="42941"/>
  </r>
  <r>
    <x v="7"/>
    <x v="0"/>
    <n v="91666"/>
  </r>
  <r>
    <x v="7"/>
    <x v="4"/>
    <n v="87687"/>
  </r>
  <r>
    <x v="4"/>
    <x v="6"/>
    <n v="130929"/>
  </r>
  <r>
    <x v="7"/>
    <x v="6"/>
    <n v="137190"/>
  </r>
  <r>
    <x v="1"/>
    <x v="5"/>
    <n v="10218"/>
  </r>
  <r>
    <x v="8"/>
    <x v="0"/>
    <n v="91152"/>
  </r>
  <r>
    <x v="5"/>
    <x v="2"/>
    <n v="30448"/>
  </r>
  <r>
    <x v="6"/>
    <x v="4"/>
    <n v="97642"/>
  </r>
  <r>
    <x v="0"/>
    <x v="5"/>
    <n v="83584"/>
  </r>
  <r>
    <x v="3"/>
    <x v="2"/>
    <n v="36637"/>
  </r>
  <r>
    <x v="3"/>
    <x v="1"/>
    <n v="609890"/>
  </r>
  <r>
    <x v="4"/>
    <x v="4"/>
    <n v="91535"/>
  </r>
  <r>
    <x v="6"/>
    <x v="1"/>
    <n v="557544"/>
  </r>
  <r>
    <x v="4"/>
    <x v="0"/>
    <n v="91659"/>
  </r>
  <r>
    <x v="1"/>
    <x v="1"/>
    <n v="81169"/>
  </r>
  <r>
    <x v="8"/>
    <x v="2"/>
    <n v="44245"/>
  </r>
  <r>
    <x v="2"/>
    <x v="5"/>
    <n v="42551"/>
  </r>
  <r>
    <x v="4"/>
    <x v="5"/>
    <n v="63818"/>
  </r>
  <r>
    <x v="6"/>
    <x v="6"/>
    <n v="143353"/>
  </r>
  <r>
    <x v="8"/>
    <x v="5"/>
    <n v="65174"/>
  </r>
  <r>
    <x v="1"/>
    <x v="4"/>
    <n v="13634"/>
  </r>
  <r>
    <x v="6"/>
    <x v="0"/>
    <n v="87911"/>
  </r>
  <r>
    <x v="2"/>
    <x v="6"/>
    <n v="111979"/>
  </r>
  <r>
    <x v="3"/>
    <x v="3"/>
    <n v="318002"/>
  </r>
  <r>
    <x v="3"/>
    <x v="6"/>
    <n v="120906"/>
  </r>
  <r>
    <x v="7"/>
    <x v="2"/>
    <n v="37302"/>
  </r>
  <r>
    <x v="8"/>
    <x v="6"/>
    <n v="12803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2">
  <r>
    <x v="0"/>
    <n v="2001"/>
    <m/>
    <m/>
    <m/>
    <n v="7.9299999999999995E-2"/>
    <n v="0"/>
    <n v="0"/>
    <n v="0"/>
    <n v="0"/>
    <n v="0"/>
    <s v=""/>
    <s v=""/>
    <s v=""/>
    <x v="0"/>
    <m/>
    <m/>
    <n v="1.524"/>
  </r>
  <r>
    <x v="1"/>
    <n v="2001"/>
    <m/>
    <m/>
    <m/>
    <n v="6.7100000000000007E-2"/>
    <n v="0"/>
    <n v="0"/>
    <n v="0"/>
    <n v="0"/>
    <n v="0"/>
    <s v=""/>
    <s v=""/>
    <s v=""/>
    <x v="0"/>
    <m/>
    <m/>
    <n v="1.492"/>
  </r>
  <r>
    <x v="2"/>
    <n v="2001"/>
    <n v="7.0000000000000007E-2"/>
    <n v="-0.24"/>
    <n v="0"/>
    <n v="6.0999999999999999E-2"/>
    <n v="0"/>
    <n v="0"/>
    <n v="0"/>
    <n v="0"/>
    <n v="0"/>
    <n v="1.8714285714285715E-2"/>
    <s v=""/>
    <s v=""/>
    <x v="0"/>
    <m/>
    <m/>
    <n v="1.399"/>
  </r>
  <r>
    <x v="3"/>
    <n v="2001"/>
    <n v="7.0000000000000007E-2"/>
    <n v="-0.25"/>
    <n v="0"/>
    <n v="5.4899999999999997E-2"/>
    <n v="0"/>
    <n v="0"/>
    <n v="0"/>
    <n v="0"/>
    <n v="0"/>
    <n v="1.7842857142857143E-2"/>
    <s v=""/>
    <s v=""/>
    <x v="0"/>
    <m/>
    <m/>
    <n v="1.4219999999999999"/>
  </r>
  <r>
    <x v="4"/>
    <n v="2001"/>
    <n v="0.04"/>
    <n v="-0.27"/>
    <n v="0"/>
    <n v="3.0499999999999999E-2"/>
    <n v="0"/>
    <n v="0"/>
    <n v="0"/>
    <n v="0"/>
    <n v="0"/>
    <n v="1.0071428571428573E-2"/>
    <s v=""/>
    <s v=""/>
    <x v="0"/>
    <m/>
    <m/>
    <n v="1.496"/>
  </r>
  <r>
    <x v="5"/>
    <n v="2001"/>
    <n v="0.05"/>
    <n v="-0.26"/>
    <n v="0"/>
    <n v="3.6600000000000001E-2"/>
    <n v="0"/>
    <n v="0"/>
    <n v="0"/>
    <n v="0"/>
    <n v="0"/>
    <n v="1.2371428571428573E-2"/>
    <s v=""/>
    <s v=""/>
    <x v="0"/>
    <m/>
    <m/>
    <n v="1.482"/>
  </r>
  <r>
    <x v="6"/>
    <n v="2001"/>
    <n v="7.0000000000000007E-2"/>
    <n v="-0.25"/>
    <n v="0"/>
    <n v="5.4899999999999997E-2"/>
    <n v="0"/>
    <n v="0"/>
    <n v="0"/>
    <n v="0"/>
    <n v="0"/>
    <n v="1.7842857142857143E-2"/>
    <s v=""/>
    <s v=""/>
    <x v="0"/>
    <m/>
    <m/>
    <n v="1.375"/>
  </r>
  <r>
    <x v="7"/>
    <n v="2001"/>
    <n v="0.06"/>
    <n v="-0.25"/>
    <n v="0"/>
    <n v="4.8800000000000003E-2"/>
    <n v="0"/>
    <n v="0"/>
    <n v="0"/>
    <n v="0"/>
    <n v="0"/>
    <n v="1.5542857142857145E-2"/>
    <s v=""/>
    <s v=""/>
    <x v="0"/>
    <m/>
    <m/>
    <n v="1.39"/>
  </r>
  <r>
    <x v="8"/>
    <n v="2001"/>
    <n v="0.04"/>
    <n v="-0.28000000000000003"/>
    <n v="0"/>
    <n v="3.0499999999999999E-2"/>
    <n v="0"/>
    <n v="0"/>
    <n v="0"/>
    <n v="0"/>
    <n v="0"/>
    <n v="1.0071428571428573E-2"/>
    <s v=""/>
    <s v=""/>
    <x v="0"/>
    <m/>
    <m/>
    <n v="1.4950000000000001"/>
  </r>
  <r>
    <x v="9"/>
    <n v="2001"/>
    <n v="0.04"/>
    <n v="-0.27"/>
    <n v="0"/>
    <n v="3.0499999999999999E-2"/>
    <n v="0"/>
    <n v="0"/>
    <n v="0"/>
    <n v="0"/>
    <n v="0"/>
    <n v="1.0071428571428573E-2"/>
    <s v=""/>
    <s v=""/>
    <x v="0"/>
    <m/>
    <m/>
    <n v="1.3480000000000001"/>
  </r>
  <r>
    <x v="10"/>
    <n v="2001"/>
    <n v="7.0000000000000007E-2"/>
    <n v="-0.25"/>
    <n v="0"/>
    <n v="5.4899999999999997E-2"/>
    <n v="0"/>
    <n v="0"/>
    <n v="0"/>
    <n v="0"/>
    <n v="0"/>
    <n v="1.7842857142857143E-2"/>
    <s v=""/>
    <s v=""/>
    <x v="0"/>
    <m/>
    <m/>
    <n v="1.2589999999999999"/>
  </r>
  <r>
    <x v="11"/>
    <n v="2001"/>
    <n v="0.03"/>
    <n v="-0.28000000000000003"/>
    <n v="0"/>
    <n v="2.4400000000000002E-2"/>
    <n v="0"/>
    <n v="0"/>
    <n v="0"/>
    <n v="0"/>
    <n v="0"/>
    <n v="7.7714285714285724E-3"/>
    <s v=""/>
    <s v=""/>
    <x v="0"/>
    <m/>
    <m/>
    <n v="1.167"/>
  </r>
  <r>
    <x v="12"/>
    <n v="2002"/>
    <n v="0.01"/>
    <n v="-0.31"/>
    <n v="0"/>
    <n v="6.1000000000000004E-3"/>
    <n v="0"/>
    <n v="0"/>
    <n v="0"/>
    <n v="0"/>
    <n v="0"/>
    <n v="2.3E-3"/>
    <n v="3.5268799999999996E-3"/>
    <s v=""/>
    <x v="0"/>
    <m/>
    <m/>
    <n v="1.153"/>
  </r>
  <r>
    <x v="13"/>
    <n v="2002"/>
    <n v="0"/>
    <n v="-0.33"/>
    <n v="0"/>
    <n v="0"/>
    <n v="0"/>
    <n v="0"/>
    <n v="0"/>
    <n v="0"/>
    <n v="0"/>
    <n v="0"/>
    <n v="0"/>
    <s v=""/>
    <x v="0"/>
    <m/>
    <m/>
    <n v="1.1519999999999999"/>
  </r>
  <r>
    <x v="14"/>
    <n v="2002"/>
    <n v="0"/>
    <n v="-0.33"/>
    <n v="0"/>
    <n v="0"/>
    <n v="0"/>
    <n v="0"/>
    <n v="0"/>
    <n v="0"/>
    <n v="0"/>
    <n v="0"/>
    <n v="0"/>
    <s v=""/>
    <x v="0"/>
    <m/>
    <m/>
    <n v="1.23"/>
  </r>
  <r>
    <x v="15"/>
    <n v="2002"/>
    <n v="0"/>
    <n v="-0.33"/>
    <n v="0"/>
    <n v="0"/>
    <n v="0"/>
    <n v="0"/>
    <n v="0"/>
    <n v="0"/>
    <n v="0"/>
    <n v="0"/>
    <n v="0"/>
    <s v=""/>
    <x v="0"/>
    <m/>
    <m/>
    <n v="1.3089999999999999"/>
  </r>
  <r>
    <x v="16"/>
    <n v="2002"/>
    <n v="0"/>
    <n v="-0.31"/>
    <n v="0"/>
    <n v="0"/>
    <n v="0"/>
    <n v="0"/>
    <n v="0"/>
    <n v="0"/>
    <n v="0"/>
    <n v="0"/>
    <n v="0"/>
    <s v=""/>
    <x v="0"/>
    <m/>
    <m/>
    <n v="1.3049999999999999"/>
  </r>
  <r>
    <x v="17"/>
    <n v="2002"/>
    <n v="0.02"/>
    <n v="-0.28999999999999998"/>
    <n v="0"/>
    <n v="1.2200000000000001E-2"/>
    <n v="0"/>
    <n v="0"/>
    <n v="0"/>
    <n v="0"/>
    <n v="0"/>
    <n v="4.5999999999999999E-3"/>
    <n v="7.0537599999999992E-3"/>
    <s v=""/>
    <x v="0"/>
    <m/>
    <m/>
    <n v="1.286"/>
  </r>
  <r>
    <x v="18"/>
    <n v="2002"/>
    <n v="0.02"/>
    <n v="-0.28999999999999998"/>
    <n v="0"/>
    <n v="1.2200000000000001E-2"/>
    <n v="0"/>
    <n v="0"/>
    <n v="0"/>
    <n v="0"/>
    <n v="0"/>
    <n v="4.5999999999999999E-3"/>
    <n v="7.0537599999999992E-3"/>
    <s v=""/>
    <x v="0"/>
    <m/>
    <m/>
    <n v="1.2989999999999999"/>
  </r>
  <r>
    <x v="19"/>
    <n v="2002"/>
    <n v="0.01"/>
    <n v="-0.3"/>
    <n v="0"/>
    <n v="1.2200000000000001E-2"/>
    <n v="0"/>
    <n v="0"/>
    <n v="0"/>
    <n v="0"/>
    <n v="0"/>
    <n v="3.1714285714285716E-3"/>
    <n v="4.3247599999999995E-3"/>
    <s v=""/>
    <x v="0"/>
    <m/>
    <m/>
    <n v="1.3280000000000001"/>
  </r>
  <r>
    <x v="20"/>
    <n v="2002"/>
    <n v="0.02"/>
    <n v="-0.3"/>
    <n v="0"/>
    <n v="1.2200000000000001E-2"/>
    <n v="0"/>
    <n v="0"/>
    <n v="0"/>
    <n v="0"/>
    <n v="0"/>
    <n v="4.5999999999999999E-3"/>
    <n v="7.0537599999999992E-3"/>
    <s v=""/>
    <x v="0"/>
    <m/>
    <m/>
    <n v="1.411"/>
  </r>
  <r>
    <x v="21"/>
    <n v="2002"/>
    <n v="0.02"/>
    <n v="-0.28999999999999998"/>
    <n v="0"/>
    <n v="1.83E-2"/>
    <n v="0"/>
    <n v="0"/>
    <n v="0"/>
    <n v="0"/>
    <n v="0"/>
    <n v="5.4714285714285715E-3"/>
    <n v="7.85164E-3"/>
    <s v=""/>
    <x v="0"/>
    <m/>
    <m/>
    <n v="1.462"/>
  </r>
  <r>
    <x v="22"/>
    <n v="2002"/>
    <n v="0.05"/>
    <n v="-0.27"/>
    <n v="0"/>
    <n v="3.6600000000000001E-2"/>
    <n v="0"/>
    <n v="0"/>
    <n v="0"/>
    <n v="0"/>
    <n v="0"/>
    <n v="1.2371428571428573E-2"/>
    <n v="1.8432279999999999E-2"/>
    <s v=""/>
    <x v="0"/>
    <m/>
    <m/>
    <n v="1.42"/>
  </r>
  <r>
    <x v="23"/>
    <n v="2002"/>
    <n v="0.06"/>
    <n v="-0.25"/>
    <n v="0"/>
    <n v="4.8800000000000003E-2"/>
    <n v="0"/>
    <n v="0"/>
    <n v="0"/>
    <n v="0"/>
    <n v="0"/>
    <n v="1.5542857142857145E-2"/>
    <n v="2.2757039999999999E-2"/>
    <s v=""/>
    <x v="0"/>
    <m/>
    <m/>
    <n v="1.429"/>
  </r>
  <r>
    <x v="24"/>
    <n v="2003"/>
    <n v="0.05"/>
    <n v="-0.26"/>
    <n v="0"/>
    <n v="3.6600000000000001E-2"/>
    <n v="0"/>
    <n v="0"/>
    <n v="0"/>
    <n v="0"/>
    <n v="0"/>
    <n v="1.2371428571428573E-2"/>
    <n v="1.883048E-2"/>
    <s v=""/>
    <x v="0"/>
    <m/>
    <m/>
    <n v="1.488"/>
  </r>
  <r>
    <x v="25"/>
    <n v="2003"/>
    <n v="0.05"/>
    <n v="-0.26"/>
    <n v="0"/>
    <n v="3.6600000000000001E-2"/>
    <n v="0"/>
    <n v="0"/>
    <n v="0"/>
    <n v="0"/>
    <n v="0"/>
    <n v="1.2371428571428573E-2"/>
    <n v="1.883048E-2"/>
    <s v=""/>
    <x v="0"/>
    <m/>
    <m/>
    <n v="1.6539999999999999"/>
  </r>
  <r>
    <x v="26"/>
    <n v="2003"/>
    <n v="0.06"/>
    <n v="-0.25"/>
    <n v="0"/>
    <n v="4.8800000000000003E-2"/>
    <n v="0"/>
    <n v="0"/>
    <n v="0"/>
    <n v="0"/>
    <n v="0"/>
    <n v="1.5542857142857145E-2"/>
    <n v="2.3244639999999997E-2"/>
    <s v=""/>
    <x v="0"/>
    <m/>
    <m/>
    <n v="1.708"/>
  </r>
  <r>
    <x v="27"/>
    <n v="2003"/>
    <n v="0.11"/>
    <n v="-0.21"/>
    <n v="0"/>
    <n v="8.5400000000000004E-2"/>
    <n v="0"/>
    <n v="0"/>
    <n v="0"/>
    <n v="0"/>
    <n v="0"/>
    <n v="2.7914285714285718E-2"/>
    <n v="4.2075120000000001E-2"/>
    <s v=""/>
    <x v="0"/>
    <m/>
    <m/>
    <n v="1.5329999999999999"/>
  </r>
  <r>
    <x v="28"/>
    <n v="2003"/>
    <n v="0.12"/>
    <n v="-0.19"/>
    <n v="0"/>
    <n v="9.7600000000000006E-2"/>
    <n v="0"/>
    <n v="0"/>
    <n v="0"/>
    <n v="0"/>
    <n v="0"/>
    <n v="3.1085714285714289E-2"/>
    <n v="4.6489279999999994E-2"/>
    <s v=""/>
    <x v="0"/>
    <m/>
    <m/>
    <n v="1.4510000000000001"/>
  </r>
  <r>
    <x v="29"/>
    <n v="2003"/>
    <n v="0.08"/>
    <n v="-0.24"/>
    <n v="0"/>
    <n v="6.0999999999999999E-2"/>
    <n v="0"/>
    <n v="0"/>
    <n v="0"/>
    <n v="0"/>
    <n v="0"/>
    <n v="2.0142857142857146E-2"/>
    <n v="3.0452800000000002E-2"/>
    <s v=""/>
    <x v="0"/>
    <m/>
    <m/>
    <n v="1.4239999999999999"/>
  </r>
  <r>
    <x v="30"/>
    <n v="2003"/>
    <n v="0.06"/>
    <n v="-0.26"/>
    <n v="0"/>
    <n v="4.2700000000000002E-2"/>
    <n v="0"/>
    <n v="0"/>
    <n v="0"/>
    <n v="0"/>
    <n v="0"/>
    <n v="1.4671428571428571E-2"/>
    <n v="2.2434559999999999E-2"/>
    <s v=""/>
    <x v="0"/>
    <m/>
    <m/>
    <n v="1.4350000000000001"/>
  </r>
  <r>
    <x v="31"/>
    <n v="2003"/>
    <n v="0.05"/>
    <n v="-0.26"/>
    <n v="0"/>
    <n v="3.6600000000000001E-2"/>
    <n v="0"/>
    <n v="0"/>
    <n v="0"/>
    <n v="0"/>
    <n v="0"/>
    <n v="1.2371428571428573E-2"/>
    <n v="1.883048E-2"/>
    <s v=""/>
    <x v="0"/>
    <m/>
    <m/>
    <n v="1.4870000000000001"/>
  </r>
  <r>
    <x v="32"/>
    <n v="2003"/>
    <n v="0.05"/>
    <n v="-0.26"/>
    <n v="0"/>
    <n v="4.2700000000000002E-2"/>
    <n v="0"/>
    <n v="0"/>
    <n v="0"/>
    <n v="0"/>
    <n v="0"/>
    <n v="1.3242857142857143E-2"/>
    <n v="1.9640560000000001E-2"/>
    <s v=""/>
    <x v="0"/>
    <m/>
    <m/>
    <n v="1.4670000000000001"/>
  </r>
  <r>
    <x v="33"/>
    <n v="2003"/>
    <n v="0.06"/>
    <n v="-0.25"/>
    <n v="0"/>
    <n v="4.8800000000000003E-2"/>
    <n v="0"/>
    <n v="0"/>
    <n v="0"/>
    <n v="0"/>
    <n v="0"/>
    <n v="1.5542857142857145E-2"/>
    <n v="2.3244639999999997E-2"/>
    <s v=""/>
    <x v="0"/>
    <m/>
    <m/>
    <n v="1.4810000000000001"/>
  </r>
  <r>
    <x v="34"/>
    <n v="2003"/>
    <n v="0.06"/>
    <n v="-0.25"/>
    <n v="0"/>
    <n v="4.8800000000000003E-2"/>
    <n v="0"/>
    <n v="0"/>
    <n v="0"/>
    <n v="0"/>
    <n v="0"/>
    <n v="1.5542857142857145E-2"/>
    <n v="2.3244639999999997E-2"/>
    <s v=""/>
    <x v="0"/>
    <m/>
    <m/>
    <n v="1.482"/>
  </r>
  <r>
    <x v="35"/>
    <n v="2003"/>
    <n v="0.06"/>
    <n v="-0.25"/>
    <n v="0"/>
    <n v="4.8800000000000003E-2"/>
    <n v="0"/>
    <n v="0"/>
    <n v="0"/>
    <n v="0"/>
    <n v="0"/>
    <n v="1.5542857142857145E-2"/>
    <n v="2.3244639999999997E-2"/>
    <n v="2.2757039999999999E-2"/>
    <x v="0"/>
    <m/>
    <m/>
    <n v="1.49"/>
  </r>
  <r>
    <x v="36"/>
    <n v="2004"/>
    <n v="0.06"/>
    <n v="-0.25"/>
    <n v="0"/>
    <n v="4.8800000000000003E-2"/>
    <n v="0"/>
    <n v="0"/>
    <n v="0"/>
    <n v="0"/>
    <n v="0"/>
    <n v="1.5542857142857145E-2"/>
    <n v="2.485768E-2"/>
    <n v="1.117868E-2"/>
    <x v="0"/>
    <m/>
    <m/>
    <n v="1.5509999999999999"/>
  </r>
  <r>
    <x v="37"/>
    <n v="2004"/>
    <n v="7.0000000000000007E-2"/>
    <n v="-0.25"/>
    <n v="0"/>
    <n v="5.4899999999999997E-2"/>
    <n v="0"/>
    <n v="0"/>
    <n v="0"/>
    <n v="0"/>
    <n v="0"/>
    <n v="1.7842857142857143E-2"/>
    <n v="2.8693390000000003E-2"/>
    <n v="9.4152400000000001E-3"/>
    <x v="0"/>
    <m/>
    <m/>
    <n v="1.5820000000000001"/>
  </r>
  <r>
    <x v="38"/>
    <n v="2004"/>
    <n v="0.08"/>
    <n v="-0.23"/>
    <n v="0"/>
    <n v="6.7100000000000007E-2"/>
    <n v="0"/>
    <n v="0"/>
    <n v="0"/>
    <n v="0"/>
    <n v="0"/>
    <n v="2.1014285714285715E-2"/>
    <n v="3.3450809999999997E-2"/>
    <n v="1.1622319999999998E-2"/>
    <x v="0"/>
    <m/>
    <m/>
    <n v="1.629"/>
  </r>
  <r>
    <x v="39"/>
    <n v="2004"/>
    <n v="0.09"/>
    <n v="-0.22"/>
    <n v="0"/>
    <n v="7.3200000000000001E-2"/>
    <n v="0"/>
    <n v="0"/>
    <n v="0"/>
    <n v="0"/>
    <n v="0"/>
    <n v="2.3314285714285714E-2"/>
    <n v="3.7286520000000004E-2"/>
    <n v="2.103756E-2"/>
    <x v="0"/>
    <m/>
    <m/>
    <n v="1.6919999999999999"/>
  </r>
  <r>
    <x v="40"/>
    <n v="2004"/>
    <n v="0.1"/>
    <n v="-0.21"/>
    <n v="0"/>
    <n v="7.9299999999999995E-2"/>
    <n v="0"/>
    <n v="0"/>
    <n v="0"/>
    <n v="0"/>
    <n v="0"/>
    <n v="2.5614285714285718E-2"/>
    <n v="4.1122229999999996E-2"/>
    <n v="2.3244639999999997E-2"/>
    <x v="0"/>
    <m/>
    <m/>
    <n v="1.746"/>
  </r>
  <r>
    <x v="41"/>
    <n v="2004"/>
    <n v="0.12"/>
    <n v="-0.2"/>
    <n v="0"/>
    <n v="9.1499999999999998E-2"/>
    <n v="0"/>
    <n v="0"/>
    <n v="0"/>
    <n v="0"/>
    <n v="0"/>
    <n v="3.0214285714285714E-2"/>
    <n v="4.8793650000000001E-2"/>
    <n v="1.8753280000000001E-2"/>
    <x v="0"/>
    <m/>
    <m/>
    <n v="1.7110000000000001"/>
  </r>
  <r>
    <x v="42"/>
    <n v="2004"/>
    <n v="0.13"/>
    <n v="-0.18"/>
    <n v="0"/>
    <n v="0.1037"/>
    <n v="0"/>
    <n v="0"/>
    <n v="0"/>
    <n v="0"/>
    <n v="0"/>
    <n v="3.3385714285714289E-2"/>
    <n v="5.3551069999999999E-2"/>
    <n v="1.4744159999999999E-2"/>
    <x v="0"/>
    <m/>
    <m/>
    <n v="1.7390000000000001"/>
  </r>
  <r>
    <x v="43"/>
    <n v="2004"/>
    <n v="0.12"/>
    <n v="-0.19"/>
    <n v="0"/>
    <n v="9.7600000000000006E-2"/>
    <n v="0"/>
    <n v="0"/>
    <n v="0"/>
    <n v="0"/>
    <n v="0"/>
    <n v="3.1085714285714289E-2"/>
    <n v="4.971536E-2"/>
    <n v="1.157762E-2"/>
    <x v="0"/>
    <m/>
    <m/>
    <n v="1.833"/>
  </r>
  <r>
    <x v="44"/>
    <n v="2004"/>
    <n v="0.13"/>
    <n v="-0.19"/>
    <n v="0"/>
    <n v="0.1037"/>
    <n v="0"/>
    <n v="0"/>
    <n v="0"/>
    <n v="0"/>
    <n v="0"/>
    <n v="3.3385714285714289E-2"/>
    <n v="5.3551069999999999E-2"/>
    <n v="1.334716E-2"/>
    <x v="0"/>
    <m/>
    <m/>
    <n v="1.917"/>
  </r>
  <r>
    <x v="45"/>
    <n v="2004"/>
    <n v="0.15"/>
    <n v="-0.16"/>
    <n v="0"/>
    <n v="0.122"/>
    <n v="0"/>
    <n v="0"/>
    <n v="0"/>
    <n v="0"/>
    <n v="0"/>
    <n v="3.8857142857142861E-2"/>
    <n v="6.2144199999999997E-2"/>
    <n v="1.5548139999999998E-2"/>
    <x v="0"/>
    <m/>
    <m/>
    <n v="2.1339999999999999"/>
  </r>
  <r>
    <x v="46"/>
    <n v="2004"/>
    <n v="0.17"/>
    <n v="-0.14000000000000001"/>
    <n v="0"/>
    <n v="0.14030000000000001"/>
    <n v="0"/>
    <n v="0"/>
    <n v="0"/>
    <n v="0"/>
    <n v="0"/>
    <n v="4.4328571428571432E-2"/>
    <n v="7.0737330000000015E-2"/>
    <n v="2.0838459999999996E-2"/>
    <x v="0"/>
    <m/>
    <m/>
    <n v="2.1469999999999998"/>
  </r>
  <r>
    <x v="47"/>
    <n v="2004"/>
    <n v="0.23"/>
    <n v="-0.09"/>
    <n v="0"/>
    <n v="0.183"/>
    <n v="0"/>
    <n v="0.04"/>
    <n v="0"/>
    <n v="0"/>
    <n v="0"/>
    <n v="6.471428571428571E-2"/>
    <n v="9.8289299999999996E-2"/>
    <n v="2.3000839999999998E-2"/>
    <x v="0"/>
    <n v="0.06"/>
    <m/>
    <n v="2.0089999999999999"/>
  </r>
  <r>
    <x v="48"/>
    <n v="2005"/>
    <n v="0.23"/>
    <n v="-0.08"/>
    <n v="0"/>
    <n v="0.183"/>
    <n v="0"/>
    <n v="0.04"/>
    <n v="0"/>
    <n v="0"/>
    <n v="0"/>
    <n v="6.471428571428571E-2"/>
    <n v="9.9859099999999992E-2"/>
    <n v="1.5738346666666667E-2"/>
    <x v="0"/>
    <n v="0.06"/>
    <m/>
    <n v="1.9590000000000001"/>
  </r>
  <r>
    <x v="49"/>
    <n v="2005"/>
    <n v="0.19"/>
    <n v="-0.12"/>
    <n v="0"/>
    <n v="0.15859999999999999"/>
    <n v="0"/>
    <n v="0.01"/>
    <n v="0"/>
    <n v="0"/>
    <n v="0"/>
    <n v="5.1228571428571436E-2"/>
    <n v="8.1328819999999996E-2"/>
    <n v="1.5841290000000001E-2"/>
    <x v="0"/>
    <n v="0.06"/>
    <m/>
    <n v="2.0270000000000001"/>
  </r>
  <r>
    <x v="50"/>
    <n v="2005"/>
    <n v="0.18"/>
    <n v="-0.13"/>
    <n v="0"/>
    <n v="0.1464"/>
    <n v="0"/>
    <n v="0"/>
    <n v="0"/>
    <n v="0"/>
    <n v="0"/>
    <n v="4.6628571428571429E-2"/>
    <n v="7.5577679999999994E-2"/>
    <n v="1.889848333333333E-2"/>
    <x v="0"/>
    <n v="0.05"/>
    <m/>
    <n v="2.214"/>
  </r>
  <r>
    <x v="51"/>
    <n v="2005"/>
    <n v="0.2"/>
    <n v="-0.11"/>
    <n v="0"/>
    <n v="0.15859999999999999"/>
    <n v="0"/>
    <n v="0.01"/>
    <n v="0"/>
    <n v="0"/>
    <n v="0"/>
    <n v="5.2657142857142861E-2"/>
    <n v="8.4358820000000001E-2"/>
    <n v="2.6453880000000003E-2"/>
    <x v="0"/>
    <n v="0.05"/>
    <m/>
    <n v="2.2919999999999998"/>
  </r>
  <r>
    <x v="52"/>
    <n v="2005"/>
    <n v="0.25"/>
    <n v="-7.0000000000000007E-2"/>
    <n v="0"/>
    <n v="0.20130000000000001"/>
    <n v="0"/>
    <n v="0.06"/>
    <n v="0"/>
    <n v="0"/>
    <n v="0"/>
    <n v="7.3042857142857159E-2"/>
    <n v="0.11048480999999999"/>
    <n v="2.9203836666666663E-2"/>
    <x v="0"/>
    <n v="0.06"/>
    <m/>
    <n v="2.1989999999999998"/>
  </r>
  <r>
    <x v="53"/>
    <n v="2005"/>
    <n v="0.27"/>
    <n v="-0.05"/>
    <n v="0"/>
    <n v="0.2135"/>
    <n v="0.01"/>
    <n v="0.08"/>
    <n v="0"/>
    <n v="0"/>
    <n v="0"/>
    <n v="8.1928571428571434E-2"/>
    <n v="0.12160295"/>
    <n v="2.8766736666666664E-2"/>
    <x v="0"/>
    <n v="0.06"/>
    <m/>
    <n v="2.29"/>
  </r>
  <r>
    <x v="54"/>
    <n v="2005"/>
    <n v="0.24"/>
    <n v="-7.0000000000000007E-2"/>
    <n v="0"/>
    <n v="0.19520000000000001"/>
    <n v="0"/>
    <n v="0.05"/>
    <n v="0"/>
    <n v="0"/>
    <n v="0"/>
    <n v="6.9314285714285717E-2"/>
    <n v="0.10561023999999999"/>
    <n v="2.7679796666666662E-2"/>
    <x v="0"/>
    <n v="0.06"/>
    <m/>
    <n v="2.3730000000000002"/>
  </r>
  <r>
    <x v="55"/>
    <n v="2005"/>
    <n v="0.27"/>
    <n v="-0.05"/>
    <n v="0"/>
    <n v="0.2135"/>
    <n v="0.01"/>
    <n v="0.08"/>
    <n v="0"/>
    <n v="0"/>
    <n v="0"/>
    <n v="8.1928571428571434E-2"/>
    <n v="0.12160295"/>
    <n v="2.4290199999999998E-2"/>
    <x v="0"/>
    <n v="0.06"/>
    <m/>
    <n v="2.5"/>
  </r>
  <r>
    <x v="56"/>
    <n v="2005"/>
    <n v="0.28999999999999998"/>
    <n v="-0.03"/>
    <n v="0"/>
    <n v="0.23180000000000001"/>
    <n v="0.03"/>
    <n v="0.1"/>
    <n v="0.06"/>
    <n v="0"/>
    <n v="0.06"/>
    <n v="0.11025714285714286"/>
    <n v="0.14774665999999997"/>
    <n v="2.6748463333333333E-2"/>
    <x v="0"/>
    <n v="0.06"/>
    <m/>
    <n v="2.819"/>
  </r>
  <r>
    <x v="57"/>
    <n v="2005"/>
    <n v="0.32"/>
    <n v="0.01"/>
    <n v="0"/>
    <n v="0.25619999999999998"/>
    <n v="5.5E-2"/>
    <n v="0.13"/>
    <n v="0.1"/>
    <n v="0"/>
    <n v="0.09"/>
    <n v="0.1358857142857143"/>
    <n v="0.17323444000000002"/>
    <n v="3.1080159999999996E-2"/>
    <x v="0"/>
    <n v="0.06"/>
    <m/>
    <n v="3.0950000000000002"/>
  </r>
  <r>
    <x v="58"/>
    <n v="2005"/>
    <n v="0.4"/>
    <n v="0.08"/>
    <n v="0"/>
    <n v="0.32329999999999998"/>
    <n v="0.12"/>
    <n v="0.21"/>
    <n v="0.17"/>
    <n v="0"/>
    <n v="0.15"/>
    <n v="0.19618571428571427"/>
    <n v="0.23671420999999998"/>
    <n v="3.7471416666666667E-2"/>
    <x v="0"/>
    <n v="0.06"/>
    <m/>
    <n v="2.573"/>
  </r>
  <r>
    <x v="59"/>
    <n v="2005"/>
    <n v="0.47"/>
    <n v="0.15"/>
    <n v="0"/>
    <n v="0.37819999999999998"/>
    <n v="0.18"/>
    <n v="0.28000000000000003"/>
    <n v="0.24"/>
    <n v="0"/>
    <n v="0.2"/>
    <n v="0.24974285714285713"/>
    <n v="0.29180333999999997"/>
    <n v="4.8096993333333331E-2"/>
    <x v="0"/>
    <n v="0.06"/>
    <m/>
    <n v="2.4430000000000001"/>
  </r>
  <r>
    <x v="60"/>
    <n v="2006"/>
    <n v="0.34"/>
    <n v="0.02"/>
    <n v="0"/>
    <n v="0.27450000000000002"/>
    <n v="7.0000000000000007E-2"/>
    <n v="0.15"/>
    <n v="0.11"/>
    <n v="0"/>
    <n v="0.1"/>
    <n v="0.14921428571428574"/>
    <n v="0.19146582999999998"/>
    <n v="4.7849086666666672E-2"/>
    <x v="0"/>
    <n v="0.06"/>
    <m/>
    <n v="2.4670000000000001"/>
  </r>
  <r>
    <x v="61"/>
    <n v="2006"/>
    <n v="0.3"/>
    <n v="-0.01"/>
    <n v="0"/>
    <n v="0.24399999999999999"/>
    <n v="4.4999999999999998E-2"/>
    <n v="0.12"/>
    <n v="0.08"/>
    <n v="0"/>
    <n v="7.0000000000000007E-2"/>
    <n v="0.12271428571428571"/>
    <n v="0.16204955999999998"/>
    <n v="4.2950896666666662E-2"/>
    <x v="0"/>
    <n v="7.0000000000000007E-2"/>
    <m/>
    <n v="2.4750000000000001"/>
  </r>
  <r>
    <x v="62"/>
    <n v="2006"/>
    <n v="0.31"/>
    <n v="0"/>
    <n v="0"/>
    <n v="0.25009999999999999"/>
    <n v="0.05"/>
    <n v="0.12"/>
    <n v="0.09"/>
    <n v="0"/>
    <n v="0.08"/>
    <n v="0.12858571428571428"/>
    <n v="0.16874765399999994"/>
    <n v="4.409104333333333E-2"/>
    <x v="0"/>
    <n v="7.0000000000000007E-2"/>
    <m/>
    <n v="2.5590000000000002"/>
  </r>
  <r>
    <x v="63"/>
    <n v="2006"/>
    <n v="0.31"/>
    <n v="0"/>
    <n v="0"/>
    <n v="0.25009999999999999"/>
    <n v="0.05"/>
    <n v="0.12"/>
    <n v="0.09"/>
    <n v="0"/>
    <n v="0.08"/>
    <n v="0.12858571428571428"/>
    <n v="0.16874765399999994"/>
    <n v="5.4573486666666671E-2"/>
    <x v="0"/>
    <n v="7.0000000000000007E-2"/>
    <m/>
    <n v="2.7280000000000002"/>
  </r>
  <r>
    <x v="64"/>
    <n v="2006"/>
    <n v="0.33"/>
    <n v="0.02"/>
    <n v="0"/>
    <n v="0.26840000000000003"/>
    <n v="6.5000000000000002E-2"/>
    <n v="0.14000000000000001"/>
    <n v="0.11"/>
    <n v="0"/>
    <n v="0.1"/>
    <n v="0.14477142857142858"/>
    <n v="0.18575723599999999"/>
    <n v="6.603210666666666E-2"/>
    <x v="0"/>
    <n v="7.0000000000000007E-2"/>
    <m/>
    <n v="2.8969999999999998"/>
  </r>
  <r>
    <x v="65"/>
    <n v="2006"/>
    <n v="0.37"/>
    <n v="0.06"/>
    <n v="0"/>
    <n v="0.30499999999999999"/>
    <n v="0.1"/>
    <n v="0.19"/>
    <n v="0.15"/>
    <n v="0"/>
    <n v="0.13"/>
    <n v="0.17785714285714288"/>
    <n v="0.21967030000000001"/>
    <n v="6.6949800000000004E-2"/>
    <x v="0"/>
    <n v="7.0000000000000007E-2"/>
    <m/>
    <n v="2.8980000000000001"/>
  </r>
  <r>
    <x v="66"/>
    <n v="2006"/>
    <n v="0.42"/>
    <n v="0.1"/>
    <n v="0"/>
    <n v="0.33550000000000002"/>
    <n v="0.13500000000000001"/>
    <n v="0.23"/>
    <n v="0.19"/>
    <n v="0"/>
    <n v="0.16"/>
    <n v="0.21007142857142855"/>
    <n v="0.25473586999999998"/>
    <n v="6.0531956666666664E-2"/>
    <x v="0"/>
    <n v="7.0000000000000007E-2"/>
    <m/>
    <n v="2.9340000000000002"/>
  </r>
  <r>
    <x v="67"/>
    <n v="2006"/>
    <n v="0.42"/>
    <n v="0.1"/>
    <n v="0"/>
    <n v="0.33550000000000002"/>
    <n v="0.14000000000000001"/>
    <n v="0.23"/>
    <n v="0.19"/>
    <n v="0"/>
    <n v="0.16"/>
    <n v="0.2107857142857143"/>
    <n v="0.25544836999999998"/>
    <n v="6.3382930000000004E-2"/>
    <x v="0"/>
    <n v="7.0000000000000007E-2"/>
    <m/>
    <n v="3.0449999999999999"/>
  </r>
  <r>
    <x v="68"/>
    <n v="2006"/>
    <n v="0.43"/>
    <n v="0.11"/>
    <n v="0"/>
    <n v="0.34770000000000001"/>
    <n v="0.14499999999999999"/>
    <n v="0.24"/>
    <n v="0.2"/>
    <n v="0"/>
    <n v="0.17"/>
    <n v="0.21895714285714285"/>
    <n v="0.264068258"/>
    <n v="7.3646096666666661E-2"/>
    <x v="0"/>
    <n v="7.0000000000000007E-2"/>
    <m/>
    <n v="2.7829999999999999"/>
  </r>
  <r>
    <x v="69"/>
    <n v="2006"/>
    <n v="0.45"/>
    <n v="0.14000000000000001"/>
    <n v="0"/>
    <n v="0.36599999999999999"/>
    <n v="0.17"/>
    <n v="0.27"/>
    <n v="0.23"/>
    <n v="0"/>
    <n v="0.19"/>
    <n v="0.23942857142857146"/>
    <n v="0.28365284000000002"/>
    <n v="8.6207760000000008E-2"/>
    <x v="0"/>
    <n v="7.0000000000000007E-2"/>
    <m/>
    <n v="2.5190000000000001"/>
  </r>
  <r>
    <x v="70"/>
    <n v="2006"/>
    <n v="0.39"/>
    <n v="0.08"/>
    <n v="0"/>
    <n v="0.31719999999999998"/>
    <n v="0.12"/>
    <n v="0.2"/>
    <n v="0.17"/>
    <n v="0"/>
    <n v="0.14000000000000001"/>
    <n v="0.19102857142857146"/>
    <n v="0.23367288800000002"/>
    <n v="0.11023205999999998"/>
    <x v="0"/>
    <n v="7.0000000000000007E-2"/>
    <m/>
    <n v="2.5449999999999999"/>
  </r>
  <r>
    <x v="71"/>
    <n v="2006"/>
    <n v="0.32"/>
    <n v="0.01"/>
    <n v="0"/>
    <n v="0.26229999999999998"/>
    <n v="0.06"/>
    <n v="0.13"/>
    <n v="0.1"/>
    <n v="0"/>
    <n v="0.09"/>
    <n v="0.13747142857142858"/>
    <n v="0.17808004199999999"/>
    <n v="0.13777909333333332"/>
    <x v="0"/>
    <n v="7.0000000000000007E-2"/>
    <n v="7.0000000000000007E-2"/>
    <n v="2.61"/>
  </r>
  <r>
    <x v="72"/>
    <n v="2007"/>
    <n v="0.33"/>
    <n v="0.02"/>
    <n v="0"/>
    <n v="0.26840000000000003"/>
    <n v="6.5000000000000002E-2"/>
    <n v="0.14000000000000001"/>
    <n v="0.11"/>
    <n v="0"/>
    <n v="0.09"/>
    <n v="0.14334285714285716"/>
    <n v="0.18617252000000001"/>
    <n v="0.10539420333333333"/>
    <x v="0"/>
    <n v="7.0000000000000007E-2"/>
    <n v="7.0000000000000007E-2"/>
    <n v="2.4849999999999999"/>
  </r>
  <r>
    <x v="73"/>
    <n v="2007"/>
    <n v="0.35"/>
    <n v="0.03"/>
    <n v="0"/>
    <n v="0.28060000000000002"/>
    <n v="0.08"/>
    <n v="0.16"/>
    <n v="0.12"/>
    <n v="0"/>
    <n v="0.11"/>
    <n v="0.15722857142857144"/>
    <n v="0.20207817999999997"/>
    <n v="9.0690590000000001E-2"/>
    <x v="0"/>
    <n v="7.0000000000000007E-2"/>
    <n v="7.0000000000000007E-2"/>
    <n v="2.488"/>
  </r>
  <r>
    <x v="74"/>
    <n v="2007"/>
    <n v="0.31"/>
    <n v="0"/>
    <n v="0"/>
    <n v="0.25619999999999998"/>
    <n v="0.05"/>
    <n v="0.13"/>
    <n v="0.09"/>
    <n v="0"/>
    <n v="0.08"/>
    <n v="0.1308857142857143"/>
    <n v="0.17270386000000001"/>
    <n v="9.2592047999999982E-2"/>
    <x v="0"/>
    <n v="7.0000000000000007E-2"/>
    <n v="7.0000000000000007E-2"/>
    <n v="2.6669999999999998"/>
  </r>
  <r>
    <x v="75"/>
    <n v="2007"/>
    <n v="0.31"/>
    <n v="0"/>
    <n v="0"/>
    <n v="0.25619999999999998"/>
    <n v="5.8500000000000003E-2"/>
    <n v="0.13"/>
    <n v="0.09"/>
    <n v="0"/>
    <n v="0.08"/>
    <n v="0.1321"/>
    <n v="0.17392785999999999"/>
    <n v="9.6797664666666658E-2"/>
    <x v="0"/>
    <n v="7.0000000000000007E-2"/>
    <n v="7.0000000000000007E-2"/>
    <n v="2.8340000000000001"/>
  </r>
  <r>
    <x v="76"/>
    <n v="2007"/>
    <n v="0.36"/>
    <n v="0.05"/>
    <n v="0"/>
    <n v="0.2928"/>
    <n v="0.1051"/>
    <n v="0.17"/>
    <n v="0.14000000000000001"/>
    <n v="0"/>
    <n v="0.12"/>
    <n v="0.16969999999999999"/>
    <n v="0.21378823999999996"/>
    <n v="0.11245475866666665"/>
    <x v="0"/>
    <n v="7.0000000000000007E-2"/>
    <n v="7.0000000000000007E-2"/>
    <n v="2.7959999999999998"/>
  </r>
  <r>
    <x v="77"/>
    <n v="2007"/>
    <n v="0.4"/>
    <n v="0.09"/>
    <n v="0"/>
    <n v="0.32329999999999998"/>
    <n v="0.1419"/>
    <n v="0.21"/>
    <n v="0.18"/>
    <n v="0"/>
    <n v="0.15"/>
    <n v="0.20074285714285714"/>
    <n v="0.24614859"/>
    <n v="0.13002230000000001"/>
    <x v="0"/>
    <n v="7.0000000000000007E-2"/>
    <n v="7.0000000000000007E-2"/>
    <n v="2.8079999999999998"/>
  </r>
  <r>
    <x v="78"/>
    <n v="2007"/>
    <n v="0.39"/>
    <n v="0.08"/>
    <n v="0"/>
    <n v="0.31719999999999998"/>
    <n v="0.12590000000000001"/>
    <n v="0.2"/>
    <n v="0.17"/>
    <n v="0"/>
    <n v="0.14000000000000001"/>
    <n v="0.19187142857142861"/>
    <n v="0.23686975999999998"/>
    <n v="0.13796572666666665"/>
    <x v="0"/>
    <n v="7.4999999999999997E-2"/>
    <n v="7.0000000000000007E-2"/>
    <n v="2.8679999999999999"/>
  </r>
  <r>
    <x v="79"/>
    <n v="2007"/>
    <n v="0.39"/>
    <n v="0.08"/>
    <n v="0"/>
    <n v="0.32329999999999998"/>
    <n v="0.12790000000000001"/>
    <n v="0.21"/>
    <n v="0.17"/>
    <n v="0"/>
    <n v="0.15"/>
    <n v="0.19588571428571427"/>
    <n v="0.24071559000000001"/>
    <n v="0.14225555999999998"/>
    <x v="0"/>
    <n v="7.4999999999999997E-2"/>
    <n v="7.0000000000000007E-2"/>
    <n v="2.8690000000000002"/>
  </r>
  <r>
    <x v="80"/>
    <n v="2007"/>
    <n v="0.41"/>
    <n v="0.1"/>
    <n v="0"/>
    <n v="0.32940000000000003"/>
    <n v="0.1366"/>
    <n v="0.22"/>
    <n v="0.19"/>
    <n v="0"/>
    <n v="0.16"/>
    <n v="0.20657142857142857"/>
    <n v="0.25236022000000002"/>
    <n v="0.15512199599999998"/>
    <x v="0"/>
    <n v="7.4999999999999997E-2"/>
    <n v="7.0000000000000007E-2"/>
    <n v="2.9529999999999998"/>
  </r>
  <r>
    <x v="81"/>
    <n v="2007"/>
    <n v="0.41"/>
    <n v="0.1"/>
    <n v="0"/>
    <n v="0.32940000000000003"/>
    <n v="0.13769999999999999"/>
    <n v="0.22"/>
    <n v="0.19"/>
    <n v="0"/>
    <n v="0.16"/>
    <n v="0.2067285714285714"/>
    <n v="0.25251862000000003"/>
    <n v="0.17301049333333332"/>
    <x v="0"/>
    <n v="7.4999999999999997E-2"/>
    <n v="7.4999999999999997E-2"/>
    <n v="3.0750000000000002"/>
  </r>
  <r>
    <x v="82"/>
    <n v="2007"/>
    <n v="0.43"/>
    <n v="0.12"/>
    <n v="0"/>
    <n v="0.34770000000000001"/>
    <n v="0.1537"/>
    <n v="0.24"/>
    <n v="0.21"/>
    <n v="0"/>
    <n v="0.18"/>
    <n v="0.22305714285714284"/>
    <n v="0.26968911000000001"/>
    <n v="0.18037480933333336"/>
    <x v="0"/>
    <n v="7.4999999999999997E-2"/>
    <n v="7.4999999999999997E-2"/>
    <n v="3.3959999999999999"/>
  </r>
  <r>
    <x v="83"/>
    <n v="2007"/>
    <n v="0.46"/>
    <n v="0.15"/>
    <n v="0"/>
    <n v="0.37209999999999999"/>
    <n v="0.17499999999999999"/>
    <n v="0.27"/>
    <n v="0.24"/>
    <n v="0"/>
    <n v="0.2"/>
    <n v="0.24530000000000002"/>
    <n v="0.29284262999999999"/>
    <n v="0.18939089399999998"/>
    <x v="0"/>
    <n v="7.4999999999999997E-2"/>
    <n v="7.4999999999999997E-2"/>
    <n v="3.3410000000000002"/>
  </r>
  <r>
    <x v="84"/>
    <n v="2008"/>
    <n v="0.54"/>
    <n v="0.23"/>
    <n v="0.04"/>
    <n v="0.43919999999999998"/>
    <n v="0.24"/>
    <n v="0.35"/>
    <n v="0.32"/>
    <n v="0"/>
    <n v="0.26"/>
    <n v="0.30702857142857143"/>
    <n v="0.35635390591122984"/>
    <n v="0.15916581666666665"/>
    <x v="0"/>
    <n v="7.4999999999999997E-2"/>
    <n v="7.4999999999999997E-2"/>
    <n v="3.3079999999999998"/>
  </r>
  <r>
    <x v="85"/>
    <n v="2008"/>
    <n v="0.53"/>
    <n v="0.22"/>
    <n v="0.03"/>
    <n v="0.42699999999999999"/>
    <n v="0.23"/>
    <n v="0.34"/>
    <n v="0.31"/>
    <n v="0"/>
    <n v="0.25"/>
    <n v="0.29814285714285715"/>
    <n v="0.3470046560150355"/>
    <n v="0.14848551999999995"/>
    <x v="0"/>
    <n v="7.4999999999999997E-2"/>
    <n v="7.4999999999999997E-2"/>
    <n v="3.3769999999999998"/>
  </r>
  <r>
    <x v="86"/>
    <n v="2008"/>
    <n v="0.52"/>
    <n v="0.21"/>
    <n v="0.02"/>
    <n v="0.4209"/>
    <n v="0.22500000000000001"/>
    <n v="0.33"/>
    <n v="0.3"/>
    <n v="0"/>
    <n v="0.25"/>
    <n v="0.29227142857142863"/>
    <n v="0.34111017640637997"/>
    <n v="0.1390097313333333"/>
    <x v="0"/>
    <n v="0.08"/>
    <n v="7.4999999999999997E-2"/>
    <n v="3.8809999999999998"/>
  </r>
  <r>
    <x v="87"/>
    <n v="2008"/>
    <n v="0.54"/>
    <n v="0.22"/>
    <n v="0.04"/>
    <n v="0.4083"/>
    <n v="0.23499999999999999"/>
    <n v="0.35"/>
    <n v="0.31"/>
    <n v="0"/>
    <n v="0.26"/>
    <n v="0.30047142857142856"/>
    <n v="0.35132235956904256"/>
    <n v="0.14234477799999998"/>
    <x v="0"/>
    <n v="0.08"/>
    <n v="7.4999999999999997E-2"/>
    <n v="4.0839999999999996"/>
  </r>
  <r>
    <x v="88"/>
    <n v="2008"/>
    <n v="0.66"/>
    <n v="0.35"/>
    <n v="0.16"/>
    <n v="0.30480000000000002"/>
    <n v="0.34"/>
    <n v="0.48"/>
    <n v="0.44"/>
    <n v="0"/>
    <n v="0.36"/>
    <n v="0.36925714285714284"/>
    <n v="0.42596585236245604"/>
    <n v="0.17001009533333331"/>
    <x v="0"/>
    <n v="0.08"/>
    <n v="7.4999999999999997E-2"/>
    <n v="4.4249999999999998"/>
  </r>
  <r>
    <x v="89"/>
    <n v="2008"/>
    <n v="0.71"/>
    <n v="0.4"/>
    <n v="0.21"/>
    <n v="0.34499999999999997"/>
    <n v="0.38500000000000001"/>
    <n v="0.53"/>
    <n v="0.49"/>
    <n v="0"/>
    <n v="0.4"/>
    <n v="0.40857142857142853"/>
    <n v="0.46735050258047678"/>
    <n v="0.19580728"/>
    <x v="0"/>
    <n v="0.08"/>
    <n v="7.4999999999999997E-2"/>
    <n v="4.6769999999999996"/>
  </r>
  <r>
    <x v="90"/>
    <n v="2008"/>
    <n v="0.8"/>
    <n v="0.49"/>
    <n v="0.3"/>
    <n v="0.4083"/>
    <n v="0.45500000000000002"/>
    <n v="0.61"/>
    <n v="0.57999999999999996"/>
    <n v="0"/>
    <n v="0.47"/>
    <n v="0.47475714285714282"/>
    <n v="0.53774135721458038"/>
    <n v="0.19907195666666666"/>
    <x v="0"/>
    <n v="0.08"/>
    <n v="7.4999999999999997E-2"/>
    <n v="4.7030000000000003"/>
  </r>
  <r>
    <x v="91"/>
    <n v="2008"/>
    <n v="0.86"/>
    <n v="0.55000000000000004"/>
    <n v="0.36"/>
    <n v="0.46"/>
    <n v="0.51"/>
    <n v="0.67"/>
    <n v="0.64"/>
    <n v="0"/>
    <n v="0.52"/>
    <n v="0.52285714285714291"/>
    <n v="0.5883844559490139"/>
    <n v="0.20592230333333331"/>
    <x v="0"/>
    <n v="0.08"/>
    <n v="7.4999999999999997E-2"/>
    <n v="4.3019999999999996"/>
  </r>
  <r>
    <x v="92"/>
    <n v="2008"/>
    <n v="0.87"/>
    <n v="0.56000000000000005"/>
    <n v="0.37"/>
    <n v="0.46579999999999999"/>
    <n v="0.51500000000000001"/>
    <n v="0.68"/>
    <n v="0.65"/>
    <n v="0"/>
    <n v="0.53"/>
    <n v="0.53011428571428565"/>
    <n v="0.59609819395385166"/>
    <n v="0.22139171266666668"/>
    <x v="0"/>
    <n v="0.08"/>
    <n v="0.08"/>
    <n v="4.024"/>
  </r>
  <r>
    <x v="93"/>
    <n v="2008"/>
    <n v="0.77"/>
    <n v="0.46"/>
    <n v="0.27"/>
    <n v="0.38529999999999998"/>
    <n v="0.43"/>
    <n v="0.57999999999999996"/>
    <n v="0.55000000000000004"/>
    <n v="0"/>
    <n v="0.45"/>
    <n v="0.4521857142857143"/>
    <n v="0.51412124973976692"/>
    <n v="0.23646863333333334"/>
    <x v="0"/>
    <n v="0.09"/>
    <n v="8.5000000000000006E-2"/>
    <n v="3.5760000000000001"/>
  </r>
  <r>
    <x v="94"/>
    <n v="2008"/>
    <n v="0.7"/>
    <n v="0.39"/>
    <n v="0.2"/>
    <n v="0.33350000000000002"/>
    <n v="0.37"/>
    <n v="0.51"/>
    <n v="0.48"/>
    <n v="0"/>
    <n v="0.39"/>
    <n v="0.39764285714285724"/>
    <n v="0.45650379566443111"/>
    <n v="0.24669206933333335"/>
    <x v="0"/>
    <n v="0.1"/>
    <n v="8.5000000000000006E-2"/>
    <n v="2.8759999999999999"/>
  </r>
  <r>
    <x v="95"/>
    <n v="2008"/>
    <n v="0.59"/>
    <n v="0.27"/>
    <n v="0.09"/>
    <n v="0.24729999999999999"/>
    <n v="0.28000000000000003"/>
    <n v="0.4"/>
    <n v="0.36"/>
    <n v="0"/>
    <n v="0.3"/>
    <n v="0.31104285714285712"/>
    <n v="0.36660809891271473"/>
    <n v="0.25424200399999997"/>
    <x v="0"/>
    <n v="0.105"/>
    <n v="0.09"/>
    <n v="2.4489999999999998"/>
  </r>
  <r>
    <x v="96"/>
    <n v="2009"/>
    <n v="0.41"/>
    <n v="0.1"/>
    <n v="0"/>
    <n v="0.115"/>
    <n v="5.2500000000000005E-2"/>
    <n v="0.22"/>
    <n v="0.19"/>
    <n v="0"/>
    <n v="0.16"/>
    <n v="0.16392857142857142"/>
    <n v="0.20343900150211841"/>
    <n v="0.24466408530374328"/>
    <x v="0"/>
    <n v="0.11"/>
    <n v="0.09"/>
    <n v="2.2919999999999998"/>
  </r>
  <r>
    <x v="97"/>
    <n v="2009"/>
    <n v="0.3"/>
    <n v="-0.01"/>
    <n v="0"/>
    <n v="2.8799999999999999E-2"/>
    <n v="1.2500000000000001E-2"/>
    <n v="0.12"/>
    <n v="0.08"/>
    <n v="0"/>
    <n v="7.0000000000000007E-2"/>
    <n v="8.7328571428571422E-2"/>
    <n v="0.12414724921689342"/>
    <n v="0.23704413200501184"/>
    <x v="0"/>
    <n v="9.5000000000000001E-2"/>
    <n v="9.5000000000000001E-2"/>
    <n v="2.1949999999999998"/>
  </r>
  <r>
    <x v="98"/>
    <n v="2009"/>
    <n v="0.27"/>
    <n v="-0.05"/>
    <n v="0"/>
    <n v="0"/>
    <n v="2.5000000000000001E-3"/>
    <n v="0.08"/>
    <n v="0"/>
    <n v="0"/>
    <n v="0"/>
    <n v="5.0357142857142864E-2"/>
    <n v="9.1841776312545823E-2"/>
    <n v="0.22752056346879332"/>
    <x v="0"/>
    <n v="9.5000000000000001E-2"/>
    <n v="9.5000000000000001E-2"/>
    <n v="2.0920000000000001"/>
  </r>
  <r>
    <x v="99"/>
    <n v="2009"/>
    <n v="0.24"/>
    <n v="-7.0000000000000007E-2"/>
    <n v="0"/>
    <n v="0"/>
    <n v="0"/>
    <n v="0.05"/>
    <n v="0"/>
    <n v="0"/>
    <n v="0"/>
    <n v="4.1428571428571426E-2"/>
    <n v="7.9761416264293949E-2"/>
    <n v="0.23133262452301415"/>
    <x v="0"/>
    <n v="9.5000000000000001E-2"/>
    <n v="9.5000000000000001E-2"/>
    <n v="2.2200000000000002"/>
  </r>
  <r>
    <x v="100"/>
    <n v="2009"/>
    <n v="0.22"/>
    <n v="-0.1"/>
    <n v="0"/>
    <n v="0"/>
    <n v="0"/>
    <n v="0.03"/>
    <n v="0"/>
    <n v="0"/>
    <n v="0"/>
    <n v="3.5714285714285712E-2"/>
    <n v="7.201891288699272E-2"/>
    <n v="0.27517044278748531"/>
    <x v="0"/>
    <n v="9.5000000000000001E-2"/>
    <n v="9.5000000000000001E-2"/>
    <n v="2.2269999999999999"/>
  </r>
  <r>
    <x v="101"/>
    <n v="2009"/>
    <n v="0.25"/>
    <n v="-0.06"/>
    <n v="0"/>
    <n v="0"/>
    <n v="2.5000000000000001E-3"/>
    <n v="0.06"/>
    <n v="0"/>
    <n v="0"/>
    <n v="0"/>
    <n v="4.4642857142857144E-2"/>
    <n v="8.4099272935244565E-2"/>
    <n v="0.31105646419349225"/>
    <x v="0"/>
    <n v="0.115"/>
    <n v="0.115"/>
    <n v="2.5289999999999999"/>
  </r>
  <r>
    <x v="102"/>
    <n v="2009"/>
    <n v="0.25"/>
    <n v="-0.06"/>
    <n v="0"/>
    <n v="0"/>
    <n v="5.7499999999999996E-2"/>
    <n v="0.06"/>
    <n v="0"/>
    <n v="0"/>
    <n v="0"/>
    <n v="5.2499999999999998E-2"/>
    <n v="9.4364582545844192E-2"/>
    <n v="0.34311566240486013"/>
    <x v="0"/>
    <n v="0.115"/>
    <n v="0.115"/>
    <n v="2.54"/>
  </r>
  <r>
    <x v="103"/>
    <n v="2009"/>
    <n v="0.32"/>
    <n v="0.01"/>
    <n v="0"/>
    <n v="4.5999999999999999E-2"/>
    <n v="6.7500000000000004E-2"/>
    <n v="0.14000000000000001"/>
    <n v="0.1"/>
    <n v="0"/>
    <n v="0.09"/>
    <n v="0.10907142857142857"/>
    <n v="0.14844290043617311"/>
    <n v="0.36151613864967125"/>
    <x v="0"/>
    <n v="0.13"/>
    <n v="0.13500000000000001"/>
    <n v="2.6339999999999999"/>
  </r>
  <r>
    <x v="104"/>
    <n v="2009"/>
    <n v="0.33"/>
    <n v="0.02"/>
    <n v="0"/>
    <n v="5.1799999999999999E-2"/>
    <n v="8.249999999999999E-2"/>
    <n v="0.14000000000000001"/>
    <n v="0.11"/>
    <n v="0"/>
    <n v="0.09"/>
    <n v="0.1149"/>
    <n v="0.15542483412602676"/>
    <n v="0.37084222398461719"/>
    <x v="0"/>
    <n v="0.13"/>
    <n v="0.13500000000000001"/>
    <n v="2.6259999999999999"/>
  </r>
  <r>
    <x v="105"/>
    <n v="2009"/>
    <n v="0.35"/>
    <n v="0.04"/>
    <n v="0"/>
    <n v="6.9000000000000006E-2"/>
    <n v="8.4999999999999992E-2"/>
    <n v="0.16"/>
    <n v="0.13"/>
    <n v="0"/>
    <n v="0.11"/>
    <n v="0.12914285714285714"/>
    <n v="0.16992178071700681"/>
    <n v="0.35009756991325564"/>
    <x v="0"/>
    <n v="0.13500000000000001"/>
    <n v="0.14000000000000001"/>
    <n v="2.6720000000000002"/>
  </r>
  <r>
    <x v="106"/>
    <n v="2009"/>
    <n v="0.35"/>
    <n v="0.04"/>
    <n v="0"/>
    <n v="6.3299999999999995E-2"/>
    <n v="8.4999999999999992E-2"/>
    <n v="0.16"/>
    <n v="0.13"/>
    <n v="0"/>
    <n v="0.11"/>
    <n v="0.12832857142857143"/>
    <n v="0.16917445958249655"/>
    <n v="0.31995526455481044"/>
    <x v="0"/>
    <n v="0.13500000000000001"/>
    <n v="0.14499999999999999"/>
    <n v="2.7919999999999998"/>
  </r>
  <r>
    <x v="107"/>
    <n v="2009"/>
    <n v="0.36"/>
    <n v="0.05"/>
    <n v="0"/>
    <n v="7.4800000000000005E-2"/>
    <n v="0.11749999999999999"/>
    <n v="0.17"/>
    <n v="0.14000000000000001"/>
    <n v="0"/>
    <n v="0.12"/>
    <n v="0.14032857142857144"/>
    <n v="0.18263571117253979"/>
    <n v="0.27917692363757157"/>
    <x v="0"/>
    <n v="0.13500000000000001"/>
    <n v="0.14499999999999999"/>
    <n v="2.7450000000000001"/>
  </r>
  <r>
    <x v="108"/>
    <n v="2010"/>
    <n v="0.39"/>
    <n v="0.08"/>
    <n v="0"/>
    <n v="9.7799999999999998E-2"/>
    <n v="0.1075"/>
    <n v="0.2"/>
    <n v="0.17"/>
    <n v="0"/>
    <n v="0.14000000000000001"/>
    <n v="0.15790000000000001"/>
    <n v="0.20389502830428408"/>
    <n v="0.24865514247111609"/>
    <x v="0"/>
    <n v="0.14000000000000001"/>
    <n v="0.14499999999999999"/>
    <n v="2.8450000000000002"/>
  </r>
  <r>
    <x v="109"/>
    <n v="2010"/>
    <n v="0.38"/>
    <n v="7.0000000000000007E-2"/>
    <n v="0"/>
    <n v="8.6300000000000002E-2"/>
    <n v="0.125"/>
    <n v="0.19"/>
    <n v="0.16"/>
    <n v="0"/>
    <n v="0.13"/>
    <n v="0.15304285714285712"/>
    <n v="0.19940639441078409"/>
    <n v="0.22441002841064295"/>
    <x v="0"/>
    <n v="0.14000000000000001"/>
    <n v="0.14499999999999999"/>
    <n v="2.7850000000000001"/>
  </r>
  <r>
    <x v="110"/>
    <n v="2010"/>
    <n v="0.4"/>
    <n v="0.09"/>
    <n v="0"/>
    <n v="0.10929999999999999"/>
    <n v="0.11749999999999999"/>
    <n v="0.22"/>
    <n v="0.18"/>
    <n v="0"/>
    <n v="0.15"/>
    <n v="0.16811428571428569"/>
    <n v="0.21378054367493393"/>
    <n v="0.20188527090630859"/>
    <x v="0"/>
    <n v="0.14000000000000001"/>
    <n v="0.15"/>
    <n v="2.915"/>
  </r>
  <r>
    <x v="111"/>
    <n v="2010"/>
    <n v="0.39"/>
    <n v="0.08"/>
    <n v="0"/>
    <n v="9.7799999999999998E-2"/>
    <n v="0.14000000000000001"/>
    <n v="0.2"/>
    <n v="0.17"/>
    <n v="0"/>
    <n v="0.14000000000000001"/>
    <n v="0.16254285714285716"/>
    <n v="0.20946144769754066"/>
    <n v="0.20167054527777883"/>
    <x v="0"/>
    <n v="0.14499999999999999"/>
    <n v="0.15"/>
    <n v="3.0590000000000002"/>
  </r>
  <r>
    <x v="112"/>
    <n v="2010"/>
    <n v="0.42"/>
    <n v="0.11"/>
    <n v="0"/>
    <n v="0.1208"/>
    <n v="0.16499999999999998"/>
    <n v="0.23"/>
    <n v="0.2"/>
    <n v="0"/>
    <n v="0.17"/>
    <n v="0.18654285714285712"/>
    <n v="0.23477856895744104"/>
    <n v="0.23725766841648291"/>
    <x v="0"/>
    <n v="0.14499999999999999"/>
    <n v="0.155"/>
    <n v="3.069"/>
  </r>
  <r>
    <x v="113"/>
    <n v="2010"/>
    <n v="0.46"/>
    <n v="0.14000000000000001"/>
    <n v="0"/>
    <n v="0.14949999999999999"/>
    <n v="0.17749999999999999"/>
    <n v="0.27"/>
    <n v="0.23"/>
    <n v="0"/>
    <n v="0.2"/>
    <n v="0.21242857142857141"/>
    <n v="0.26269544345419421"/>
    <n v="0.26586612183857378"/>
    <x v="0"/>
    <n v="0.14499999999999999"/>
    <n v="0.155"/>
    <n v="2.948"/>
  </r>
  <r>
    <x v="114"/>
    <n v="2010"/>
    <n v="0.46"/>
    <n v="0.15"/>
    <n v="0"/>
    <n v="0.14949999999999999"/>
    <n v="0.14749999999999999"/>
    <n v="0.27"/>
    <n v="0.24"/>
    <n v="0"/>
    <n v="0.2"/>
    <n v="0.20957142857142858"/>
    <n v="0.2577764619797997"/>
    <n v="0.28965856658680816"/>
    <x v="0"/>
    <n v="0.15"/>
    <n v="0.155"/>
    <n v="2.911"/>
  </r>
  <r>
    <x v="115"/>
    <n v="2010"/>
    <n v="0.43"/>
    <n v="0.12"/>
    <n v="0"/>
    <n v="0.1265"/>
    <n v="0.14250000000000002"/>
    <n v="0.24"/>
    <n v="0.21"/>
    <n v="0"/>
    <n v="0.17"/>
    <n v="0.18842857142857142"/>
    <n v="0.23588482957728804"/>
    <n v="0.32584764879506234"/>
    <x v="0"/>
    <n v="0.15"/>
    <n v="0.16"/>
    <n v="2.9590000000000001"/>
  </r>
  <r>
    <x v="116"/>
    <n v="2010"/>
    <n v="0.42"/>
    <n v="0.11"/>
    <n v="0"/>
    <n v="0.1208"/>
    <n v="0.15"/>
    <n v="0.23"/>
    <n v="0.2"/>
    <n v="0"/>
    <n v="0.17"/>
    <n v="0.18439999999999998"/>
    <n v="0.23220945231439954"/>
    <n v="0.33462774935995948"/>
    <x v="0"/>
    <n v="0.155"/>
    <n v="0.16"/>
    <n v="2.9460000000000002"/>
  </r>
  <r>
    <x v="117"/>
    <n v="2010"/>
    <n v="0.43"/>
    <n v="0.12"/>
    <n v="0"/>
    <n v="0.1265"/>
    <n v="0.14749999999999999"/>
    <n v="0.24"/>
    <n v="0.21"/>
    <n v="0"/>
    <n v="0.18"/>
    <n v="0.19057142857142856"/>
    <n v="0.23854974298056819"/>
    <n v="0.31218721681892458"/>
    <x v="0"/>
    <n v="0.155"/>
    <n v="0.16500000000000001"/>
    <n v="3.052"/>
  </r>
  <r>
    <x v="118"/>
    <n v="2010"/>
    <n v="0.43"/>
    <n v="0.12"/>
    <n v="0"/>
    <n v="0.1265"/>
    <n v="0.16749999999999998"/>
    <n v="0.24"/>
    <n v="0.21"/>
    <n v="0"/>
    <n v="0.17"/>
    <n v="0.19199999999999998"/>
    <n v="0.24016669064902385"/>
    <n v="0.29845578841564252"/>
    <x v="0"/>
    <n v="0.155"/>
    <n v="0.16500000000000001"/>
    <n v="3.14"/>
  </r>
  <r>
    <x v="119"/>
    <n v="2010"/>
    <n v="0.46"/>
    <n v="0.14000000000000001"/>
    <n v="0"/>
    <n v="0.14949999999999999"/>
    <n v="0.1875"/>
    <n v="0.27"/>
    <n v="0.23"/>
    <n v="0"/>
    <n v="0.2"/>
    <n v="0.21385714285714288"/>
    <n v="0.2644081878828885"/>
    <n v="0.28069548002841821"/>
    <x v="0"/>
    <n v="0.16"/>
    <n v="0.16500000000000001"/>
    <n v="3.2429999999999999"/>
  </r>
  <r>
    <x v="120"/>
    <n v="2011"/>
    <n v="0.48"/>
    <n v="0.17"/>
    <n v="0"/>
    <n v="0.1668"/>
    <n v="0.20250000000000001"/>
    <n v="0.28999999999999998"/>
    <n v="0.26"/>
    <n v="0"/>
    <n v="0.21"/>
    <n v="0.22989999999999999"/>
    <n v="0.2820631847897761"/>
    <n v="0.25456264523921074"/>
    <x v="0"/>
    <n v="0.16"/>
    <n v="0.17"/>
    <n v="3.3879999999999999"/>
  </r>
  <r>
    <x v="121"/>
    <n v="2011"/>
    <n v="0.5"/>
    <n v="0.19"/>
    <n v="0"/>
    <n v="0.184"/>
    <n v="0.23749999999999999"/>
    <n v="0.32"/>
    <n v="0.28000000000000003"/>
    <n v="0"/>
    <n v="0.23"/>
    <n v="0.25021428571428572"/>
    <n v="0.30297165604295534"/>
    <n v="0.2235194332142377"/>
    <x v="0"/>
    <n v="0.16500000000000001"/>
    <n v="0.17"/>
    <n v="3.5840000000000001"/>
  </r>
  <r>
    <x v="122"/>
    <n v="2011"/>
    <n v="0.54"/>
    <n v="0.23"/>
    <n v="0.04"/>
    <n v="0.21279999999999999"/>
    <n v="0.26500000000000001"/>
    <n v="0.35"/>
    <n v="0.32"/>
    <n v="0"/>
    <n v="0.26"/>
    <n v="0.23397142857142855"/>
    <n v="0.22689206254906269"/>
    <n v="0.21557749879795321"/>
    <x v="0"/>
    <n v="0.16500000000000001"/>
    <n v="0.17499999999999999"/>
    <n v="3.9049999999999998"/>
  </r>
  <r>
    <x v="123"/>
    <n v="2011"/>
    <n v="0.59"/>
    <n v="0.28000000000000003"/>
    <n v="0.09"/>
    <n v="0.24729999999999999"/>
    <n v="0.33750000000000002"/>
    <n v="0.4"/>
    <n v="0.37"/>
    <n v="0"/>
    <n v="0.3"/>
    <n v="0.27640000000000003"/>
    <n v="0.27217886161961885"/>
    <n v="0.21351507451029239"/>
    <x v="0"/>
    <n v="0.17"/>
    <n v="0.17499999999999999"/>
    <n v="4.0640000000000001"/>
  </r>
  <r>
    <x v="124"/>
    <n v="2011"/>
    <n v="0.67"/>
    <n v="0.36"/>
    <n v="0.17"/>
    <n v="0.3105"/>
    <n v="0.37"/>
    <n v="0.48"/>
    <n v="0.45"/>
    <n v="0"/>
    <n v="0.37"/>
    <n v="0.33435714285714285"/>
    <n v="0.33261392470248374"/>
    <n v="0.24425444473562993"/>
    <x v="0"/>
    <n v="0.17"/>
    <n v="0.17499999999999999"/>
    <n v="4.0469999999999997"/>
  </r>
  <r>
    <x v="125"/>
    <n v="2011"/>
    <n v="0.71"/>
    <n v="0.4"/>
    <n v="0.21"/>
    <n v="0.33929999999999999"/>
    <n v="0.38250000000000001"/>
    <n v="0.52"/>
    <n v="0.49"/>
    <n v="0"/>
    <n v="0.4"/>
    <n v="0.36168571428571428"/>
    <n v="0.36092844996388984"/>
    <n v="0.27138173965663853"/>
    <x v="0"/>
    <n v="0.17"/>
    <n v="0.18"/>
    <n v="3.9329999999999998"/>
  </r>
  <r>
    <x v="126"/>
    <n v="2011"/>
    <n v="0.7"/>
    <n v="0.39"/>
    <n v="0.2"/>
    <n v="0.33929999999999999"/>
    <n v="0.35499999999999998"/>
    <n v="0.52"/>
    <n v="0.48"/>
    <n v="0"/>
    <n v="0.39"/>
    <n v="0.35347142857142855"/>
    <n v="0.35078662027820517"/>
    <n v="0.29662746724674144"/>
    <x v="0"/>
    <n v="0.17499999999999999"/>
    <n v="0.18"/>
    <n v="3.9049999999999998"/>
  </r>
  <r>
    <x v="127"/>
    <n v="2011"/>
    <n v="0.68"/>
    <n v="0.36"/>
    <n v="0.18"/>
    <n v="0.31630000000000003"/>
    <n v="0.34750000000000003"/>
    <n v="0.49"/>
    <n v="0.45"/>
    <n v="0"/>
    <n v="0.37"/>
    <n v="0.33340000000000003"/>
    <n v="0.33015180349797468"/>
    <n v="0.32423739532082502"/>
    <x v="0"/>
    <n v="0.17499999999999999"/>
    <n v="0.185"/>
    <n v="3.86"/>
  </r>
  <r>
    <x v="128"/>
    <n v="2011"/>
    <n v="0.67"/>
    <n v="0.36"/>
    <n v="0.17"/>
    <n v="0.3105"/>
    <n v="0.33999999999999997"/>
    <n v="0.48"/>
    <n v="0.45"/>
    <n v="0"/>
    <n v="0.37"/>
    <n v="0.33007142857142852"/>
    <n v="0.32753842622539014"/>
    <n v="0.32791082679809264"/>
    <x v="0"/>
    <n v="0.18"/>
    <n v="0.185"/>
    <n v="3.8370000000000002"/>
  </r>
  <r>
    <x v="129"/>
    <n v="2011"/>
    <n v="0.66"/>
    <n v="0.35"/>
    <n v="0.16"/>
    <n v="0.30480000000000002"/>
    <n v="0.33500000000000002"/>
    <n v="0.47"/>
    <n v="0.44"/>
    <n v="0"/>
    <n v="0.36"/>
    <n v="0.32282857142857141"/>
    <n v="0.31987123295757847"/>
    <n v="0.30753092447911395"/>
    <x v="0"/>
    <n v="0.18"/>
    <n v="0.185"/>
    <n v="3.798"/>
  </r>
  <r>
    <x v="130"/>
    <n v="2011"/>
    <n v="0.65"/>
    <n v="0.34"/>
    <n v="0.15"/>
    <n v="0.29899999999999999"/>
    <n v="0.32"/>
    <n v="0.46"/>
    <n v="0.43"/>
    <n v="0"/>
    <n v="0.35"/>
    <n v="0.31414285714285711"/>
    <n v="0.31049969165070496"/>
    <n v="0.28861498196531715"/>
    <x v="0"/>
    <n v="0.185"/>
    <n v="0.19"/>
    <n v="3.9620000000000002"/>
  </r>
  <r>
    <x v="131"/>
    <n v="2011"/>
    <n v="0.64"/>
    <n v="0.33"/>
    <n v="0.14000000000000001"/>
    <n v="0.28749999999999998"/>
    <n v="0.35499999999999998"/>
    <n v="0.45"/>
    <n v="0.42"/>
    <n v="0"/>
    <n v="0.34"/>
    <n v="0.31178571428571422"/>
    <n v="0.30887394731057871"/>
    <n v="0.27121733265604769"/>
    <x v="0"/>
    <n v="0.185"/>
    <n v="0.19"/>
    <n v="3.8610000000000002"/>
  </r>
  <r>
    <x v="132"/>
    <n v="2012"/>
    <n v="0.68"/>
    <n v="0.37"/>
    <n v="0.18"/>
    <n v="0.32200000000000001"/>
    <n v="0.34499999999999997"/>
    <n v="0.5"/>
    <n v="0.46"/>
    <n v="0"/>
    <n v="0.38"/>
    <n v="0.33957142857142852"/>
    <n v="0.3335229579972202"/>
    <n v="0.22979907153205956"/>
    <x v="0"/>
    <n v="0.185"/>
    <n v="0.19500000000000001"/>
    <n v="3.8330000000000002"/>
  </r>
  <r>
    <x v="133"/>
    <n v="2012"/>
    <n v="0.66"/>
    <n v="0.35"/>
    <n v="0.16"/>
    <n v="0.30480000000000002"/>
    <n v="0.33"/>
    <n v="0.47"/>
    <n v="0.44"/>
    <n v="0"/>
    <n v="0.36"/>
    <n v="0.32211428571428569"/>
    <n v="0.3161807676335282"/>
    <n v="0.20884176655687761"/>
    <x v="0"/>
    <n v="0.19"/>
    <n v="0.19500000000000001"/>
    <n v="3.9529999999999998"/>
  </r>
  <r>
    <x v="134"/>
    <n v="2012"/>
    <n v="0.65"/>
    <n v="0.34"/>
    <n v="0.15"/>
    <n v="0.29899999999999999"/>
    <n v="0.34499999999999997"/>
    <n v="0.46"/>
    <n v="0.43"/>
    <n v="0"/>
    <n v="0.35"/>
    <n v="0.31771428571428567"/>
    <n v="0.31219932491325841"/>
    <n v="0.17750479417884749"/>
    <x v="0"/>
    <n v="0.19"/>
    <n v="0.2"/>
    <n v="4.1269999999999998"/>
  </r>
  <r>
    <x v="135"/>
    <n v="2012"/>
    <n v="0.68"/>
    <n v="0.37"/>
    <n v="0.18"/>
    <n v="0.32200000000000001"/>
    <n v="0.38750000000000001"/>
    <n v="0.49"/>
    <n v="0.46"/>
    <n v="0"/>
    <n v="0.38"/>
    <n v="0.34421428571428569"/>
    <n v="0.34054150437325625"/>
    <n v="0.18713390852715114"/>
    <x v="0"/>
    <n v="0.19500000000000001"/>
    <n v="0.2"/>
    <n v="4.1150000000000002"/>
  </r>
  <r>
    <x v="136"/>
    <n v="2012"/>
    <n v="0.72"/>
    <n v="0.41"/>
    <n v="0.22"/>
    <n v="0.3508"/>
    <n v="0.39250000000000002"/>
    <n v="0.54"/>
    <n v="0.5"/>
    <n v="0"/>
    <n v="0.41"/>
    <n v="0.37190000000000001"/>
    <n v="0.36777706576206387"/>
    <n v="0.21313713551563918"/>
    <x v="0"/>
    <n v="0.19500000000000001"/>
    <n v="0.2"/>
    <n v="3.9790000000000001"/>
  </r>
  <r>
    <x v="137"/>
    <n v="2012"/>
    <n v="0.72"/>
    <n v="0.41"/>
    <n v="0.22"/>
    <n v="0.3508"/>
    <n v="0.3725"/>
    <n v="0.53"/>
    <n v="0.5"/>
    <n v="0"/>
    <n v="0.41"/>
    <n v="0.36761428571428573"/>
    <n v="0.36362908513294762"/>
    <n v="0.23590772211777619"/>
    <x v="0"/>
    <n v="0.2"/>
    <n v="0.20499999999999999"/>
    <n v="3.7589999999999999"/>
  </r>
  <r>
    <x v="138"/>
    <n v="2012"/>
    <n v="0.69"/>
    <n v="0.37"/>
    <n v="0.19"/>
    <n v="0.32200000000000001"/>
    <n v="0.32500000000000001"/>
    <n v="0.5"/>
    <n v="0.46"/>
    <n v="0"/>
    <n v="0.38"/>
    <n v="0.33671428571428569"/>
    <n v="0.32994966935557146"/>
    <n v="0.23430922160128301"/>
    <x v="0"/>
    <n v="0.2"/>
    <n v="0.20499999999999999"/>
    <n v="3.7210000000000001"/>
  </r>
  <r>
    <x v="139"/>
    <n v="2012"/>
    <n v="0.63"/>
    <n v="0.32"/>
    <n v="0.13"/>
    <n v="0.28179999999999999"/>
    <n v="0.30499999999999999"/>
    <n v="0.44"/>
    <n v="0.41"/>
    <n v="0"/>
    <n v="0.34"/>
    <n v="0.29954285714285717"/>
    <n v="0.29260801879204568"/>
    <n v="0.23815984450381197"/>
    <x v="0"/>
    <n v="0.20499999999999999"/>
    <n v="0.21"/>
    <n v="3.9830000000000001"/>
  </r>
  <r>
    <x v="140"/>
    <n v="2012"/>
    <n v="0.62"/>
    <n v="0.31"/>
    <n v="0.12"/>
    <n v="0.27600000000000002"/>
    <n v="0.34750000000000003"/>
    <n v="0.44"/>
    <n v="0.4"/>
    <n v="0"/>
    <n v="0.33"/>
    <n v="0.30050000000000004"/>
    <n v="0.29411453994151043"/>
    <n v="0.23839090422193884"/>
    <x v="0"/>
    <n v="0.20499999999999999"/>
    <n v="0.21"/>
    <n v="4.12"/>
  </r>
  <r>
    <x v="141"/>
    <n v="2012"/>
    <n v="0.69"/>
    <n v="0.38"/>
    <n v="0.19"/>
    <n v="0.32779999999999998"/>
    <n v="0.39"/>
    <n v="0.5"/>
    <n v="0.47"/>
    <n v="0"/>
    <n v="0.38"/>
    <n v="0.34968571428571427"/>
    <n v="0.34600677159789595"/>
    <n v="0.24278091888505116"/>
    <x v="0"/>
    <n v="0.21"/>
    <n v="0.215"/>
    <n v="4.0940000000000003"/>
  </r>
  <r>
    <x v="142"/>
    <n v="2012"/>
    <n v="0.72"/>
    <n v="0.41"/>
    <n v="0.22"/>
    <n v="0.3508"/>
    <n v="0.39"/>
    <n v="0.54"/>
    <n v="0.5"/>
    <n v="0"/>
    <n v="0.41"/>
    <n v="0.37154285714285712"/>
    <n v="0.36733040468185779"/>
    <n v="0.23994694729407515"/>
    <x v="0"/>
    <n v="0.21"/>
    <n v="0.215"/>
    <n v="4"/>
  </r>
  <r>
    <x v="143"/>
    <n v="2012"/>
    <n v="0.72"/>
    <n v="0.4"/>
    <n v="0.22"/>
    <n v="0.34499999999999997"/>
    <n v="0.36499999999999999"/>
    <n v="0.53"/>
    <n v="0.49"/>
    <n v="0"/>
    <n v="0.4"/>
    <n v="0.36142857142857138"/>
    <n v="0.35620238467829057"/>
    <n v="0.25197261545533567"/>
    <x v="0"/>
    <n v="0.215"/>
    <n v="0.22"/>
    <n v="3.9609999999999999"/>
  </r>
  <r>
    <x v="144"/>
    <n v="2013"/>
    <n v="0.69"/>
    <n v="0.38"/>
    <n v="0.19"/>
    <n v="0.32779999999999998"/>
    <n v="0.36249999999999999"/>
    <n v="0.51"/>
    <n v="0.47"/>
    <n v="0"/>
    <n v="0.39"/>
    <n v="0.34861428571428571"/>
    <n v="0.34394637376302262"/>
    <n v="0.27316039036376011"/>
    <x v="0"/>
    <n v="0.215"/>
    <n v="0.22"/>
    <n v="3.9089999999999998"/>
  </r>
  <r>
    <x v="145"/>
    <n v="2013"/>
    <n v="0.68"/>
    <n v="0.37"/>
    <n v="0.18"/>
    <n v="0.32200000000000001"/>
    <n v="0.34749999999999998"/>
    <n v="0.5"/>
    <n v="0.46"/>
    <n v="0"/>
    <n v="0.38"/>
    <n v="0.33992857142857141"/>
    <n v="0.33452457033572519"/>
    <n v="0.27285293936242255"/>
    <x v="0"/>
    <n v="0.22"/>
    <n v="0.22500000000000001"/>
    <n v="4.1109999999999998"/>
  </r>
  <r>
    <x v="146"/>
    <n v="2013"/>
    <n v="0.67"/>
    <n v="0.36"/>
    <n v="0.17"/>
    <n v="0.3105"/>
    <n v="0.3775"/>
    <n v="0.48"/>
    <n v="0.45"/>
    <n v="0"/>
    <n v="0.37"/>
    <n v="0.33542857142857141"/>
    <n v="0.33249563878508454"/>
    <n v="0.25095731037908503"/>
    <x v="0"/>
    <n v="0.22500000000000001"/>
    <n v="0.22500000000000001"/>
    <n v="4.0679999999999996"/>
  </r>
  <r>
    <x v="147"/>
    <n v="2013"/>
    <n v="0.72"/>
    <n v="0.41"/>
    <n v="0.22"/>
    <n v="0.3508"/>
    <n v="0.38500000000000001"/>
    <n v="0.53"/>
    <n v="0.5"/>
    <n v="0"/>
    <n v="0.41"/>
    <n v="0.36940000000000001"/>
    <n v="0.3663687562291571"/>
    <n v="0.27406060456347192"/>
    <x v="0"/>
    <n v="0.22500000000000001"/>
    <n v="0.23"/>
    <n v="3.93"/>
  </r>
  <r>
    <x v="148"/>
    <n v="2013"/>
    <n v="0.71"/>
    <n v="0.4"/>
    <n v="0.21"/>
    <n v="0.33929999999999999"/>
    <n v="0.35749999999999998"/>
    <n v="0.52"/>
    <n v="0.49"/>
    <n v="0"/>
    <n v="0.4"/>
    <n v="0.35811428571428566"/>
    <n v="0.35373736993448346"/>
    <n v="0.31172318647399622"/>
    <x v="0"/>
    <n v="0.23"/>
    <n v="0.23"/>
    <n v="3.87"/>
  </r>
  <r>
    <x v="149"/>
    <n v="2013"/>
    <n v="0.68"/>
    <n v="0.36"/>
    <n v="0.18"/>
    <n v="0.31630000000000003"/>
    <n v="0.33750000000000002"/>
    <n v="0.49"/>
    <n v="0.45"/>
    <n v="0"/>
    <n v="0.37"/>
    <n v="0.33197142857142853"/>
    <n v="0.32609202746588767"/>
    <n v="0.32908432618367717"/>
    <x v="0"/>
    <n v="0.23"/>
    <n v="0.23499999999999999"/>
    <n v="3.8490000000000002"/>
  </r>
  <r>
    <x v="150"/>
    <n v="2013"/>
    <n v="0.66"/>
    <n v="0.35"/>
    <n v="0.16"/>
    <n v="0.30480000000000002"/>
    <n v="0.33750000000000002"/>
    <n v="0.47"/>
    <n v="0.44"/>
    <n v="0"/>
    <n v="0.36"/>
    <n v="0.32318571428571424"/>
    <n v="0.31820860759511788"/>
    <n v="0.31283758387119209"/>
    <x v="0"/>
    <n v="0.23499999999999999"/>
    <n v="0.23499999999999999"/>
    <n v="3.8660000000000001"/>
  </r>
  <r>
    <x v="151"/>
    <n v="2013"/>
    <n v="0.65"/>
    <n v="0.34"/>
    <n v="0.15"/>
    <n v="0.29899999999999999"/>
    <n v="0.33750000000000002"/>
    <n v="0.47"/>
    <n v="0.43"/>
    <n v="0"/>
    <n v="0.35"/>
    <n v="0.31807142857142851"/>
    <n v="0.3123326961974327"/>
    <n v="0.28621488395576949"/>
    <x v="0"/>
    <n v="0.24"/>
    <n v="0.24"/>
    <n v="3.9049999999999998"/>
  </r>
  <r>
    <x v="152"/>
    <n v="2013"/>
    <n v="0.66"/>
    <n v="0.35"/>
    <n v="0.16"/>
    <n v="0.30480000000000002"/>
    <n v="0.34749999999999998"/>
    <n v="0.47"/>
    <n v="0.44"/>
    <n v="0"/>
    <n v="0.36"/>
    <n v="0.32461428571428569"/>
    <n v="0.32016010370182757"/>
    <n v="0.28462080616043339"/>
    <x v="0"/>
    <n v="0.24"/>
    <n v="0.24"/>
    <n v="3.9609999999999999"/>
  </r>
  <r>
    <x v="153"/>
    <n v="2013"/>
    <n v="0.67"/>
    <n v="0.36"/>
    <n v="0.17"/>
    <n v="0.3105"/>
    <n v="0.36249999999999999"/>
    <n v="0.48"/>
    <n v="0.45"/>
    <n v="0"/>
    <n v="0.37"/>
    <n v="0.33328571428571424"/>
    <n v="0.32956839462501997"/>
    <n v="0.30147591584534755"/>
    <x v="0"/>
    <n v="0.245"/>
    <n v="0.245"/>
    <n v="3.8849999999999998"/>
  </r>
  <r>
    <x v="154"/>
    <n v="2013"/>
    <n v="0.68"/>
    <n v="0.37"/>
    <n v="0.18"/>
    <n v="0.32200000000000001"/>
    <n v="0.34749999999999998"/>
    <n v="0.5"/>
    <n v="0.46"/>
    <n v="0"/>
    <n v="0.38"/>
    <n v="0.33992857142857141"/>
    <n v="0.33452457033572519"/>
    <n v="0.30599892899386222"/>
    <x v="0"/>
    <n v="0.245"/>
    <n v="0.25"/>
    <n v="3.839"/>
  </r>
  <r>
    <x v="155"/>
    <n v="2013"/>
    <n v="0.66"/>
    <n v="0.35"/>
    <n v="0.16"/>
    <n v="0.30480000000000002"/>
    <n v="0.33500000000000002"/>
    <n v="0.48"/>
    <n v="0.44"/>
    <n v="0"/>
    <n v="0.36"/>
    <n v="0.32425714285714285"/>
    <n v="0.31833938143798823"/>
    <n v="0.30982817329058593"/>
    <x v="0"/>
    <n v="0.25"/>
    <n v="0.25"/>
    <n v="3.8820000000000001"/>
  </r>
  <r>
    <x v="156"/>
    <n v="2014"/>
    <n v="0.65"/>
    <n v="0.34"/>
    <n v="0.15"/>
    <n v="0.29899999999999999"/>
    <n v="0.34"/>
    <n v="0.46"/>
    <n v="0.43"/>
    <n v="0"/>
    <n v="0.35"/>
    <n v="0.317"/>
    <n v="0.31341985679452145"/>
    <n v="0.31984417218333966"/>
    <x v="0"/>
    <n v="0.255"/>
    <n v="0.255"/>
    <n v="3.8929999999999998"/>
  </r>
  <r>
    <x v="157"/>
    <n v="2014"/>
    <n v="0.66"/>
    <n v="0.35"/>
    <n v="0.16"/>
    <n v="0.30480000000000002"/>
    <n v="0.34499999999999997"/>
    <n v="0.48"/>
    <n v="0.44"/>
    <n v="0"/>
    <n v="0.36"/>
    <n v="0.32568571428571425"/>
    <n v="0.32161061365663257"/>
    <n v="0.31789233133740291"/>
    <x v="0"/>
    <n v="0.255"/>
    <n v="0.26"/>
    <n v="3.984"/>
  </r>
  <r>
    <x v="158"/>
    <n v="2014"/>
    <n v="0.67"/>
    <n v="0.35"/>
    <n v="0.17"/>
    <n v="0.3105"/>
    <n v="0.35749999999999998"/>
    <n v="0.48"/>
    <n v="0.44"/>
    <n v="0"/>
    <n v="0.36"/>
    <n v="0.32828571428571429"/>
    <n v="0.32462075418473169"/>
    <n v="0.29052900874913523"/>
    <x v="0"/>
    <n v="0.26500000000000001"/>
    <n v="0.26"/>
    <n v="4.0010000000000003"/>
  </r>
  <r>
    <x v="159"/>
    <n v="2014"/>
    <n v="0.69"/>
    <n v="0.38"/>
    <n v="0.19"/>
    <n v="0.32779999999999998"/>
    <n v="0.36749999999999999"/>
    <n v="0.5"/>
    <n v="0.47"/>
    <n v="0"/>
    <n v="0.38"/>
    <n v="0.3464714285714286"/>
    <n v="0.34387801833973758"/>
    <n v="0.3263630407406774"/>
    <x v="0"/>
    <n v="0.26500000000000001"/>
    <n v="0.26500000000000001"/>
    <n v="3.964"/>
  </r>
  <r>
    <x v="160"/>
    <n v="2014"/>
    <n v="0.69"/>
    <n v="0.38"/>
    <n v="0.19"/>
    <n v="0.32779999999999998"/>
    <n v="0.36"/>
    <n v="0.51"/>
    <n v="0.47"/>
    <n v="0"/>
    <n v="0.39"/>
    <n v="0.34825714285714288"/>
    <n v="0.34509134245306627"/>
    <n v="0.35137612013301034"/>
    <x v="0"/>
    <n v="0.27"/>
    <n v="0.26500000000000001"/>
    <n v="3.9430000000000001"/>
  </r>
  <r>
    <x v="161"/>
    <n v="2014"/>
    <n v="0.68"/>
    <n v="0.37"/>
    <n v="0.18"/>
    <n v="0.32200000000000001"/>
    <n v="0.35749999999999998"/>
    <n v="0.5"/>
    <n v="0.46"/>
    <n v="0"/>
    <n v="0.38"/>
    <n v="0.34135714285714286"/>
    <n v="0.33797586551441572"/>
    <n v="0.35021652085424176"/>
    <x v="0"/>
    <n v="0.27"/>
    <n v="0.27"/>
    <n v="3.9060000000000001"/>
  </r>
  <r>
    <x v="162"/>
    <n v="2014"/>
    <n v="0.68"/>
    <n v="0.37"/>
    <n v="0.18"/>
    <n v="0.31630000000000003"/>
    <n v="0.34499999999999997"/>
    <n v="0.49"/>
    <n v="0.46"/>
    <n v="0"/>
    <n v="0.37"/>
    <n v="0.33589999999999998"/>
    <n v="0.33246122056052718"/>
    <n v="0.33298163240963147"/>
    <x v="0"/>
    <n v="0.27500000000000002"/>
    <n v="0.27500000000000002"/>
    <n v="3.8839999999999999"/>
  </r>
  <r>
    <x v="163"/>
    <n v="2014"/>
    <n v="0.67"/>
    <n v="0.36"/>
    <n v="0.17"/>
    <n v="0.3105"/>
    <n v="0.34499999999999997"/>
    <n v="0.48"/>
    <n v="0.45"/>
    <n v="0"/>
    <n v="0.37"/>
    <n v="0.33078571428571424"/>
    <n v="0.3276357549991793"/>
    <n v="0.31169750616248432"/>
    <x v="0"/>
    <n v="0.28000000000000003"/>
    <n v="0.27500000000000002"/>
    <n v="3.8380000000000001"/>
  </r>
  <r>
    <x v="164"/>
    <n v="2014"/>
    <n v="0.66"/>
    <n v="0.35"/>
    <n v="0.16"/>
    <n v="0.30480000000000002"/>
    <n v="0.33250000000000002"/>
    <n v="0.48"/>
    <n v="0.44"/>
    <n v="0"/>
    <n v="0.36"/>
    <n v="0.32390000000000002"/>
    <n v="0.31945864646919797"/>
    <n v="0.31393768995624272"/>
    <x v="0"/>
    <n v="0.28000000000000003"/>
    <n v="0.28000000000000003"/>
    <n v="3.7919999999999998"/>
  </r>
  <r>
    <x v="165"/>
    <n v="2014"/>
    <n v="0.65"/>
    <n v="0.34"/>
    <n v="0.15"/>
    <n v="0.29899999999999999"/>
    <n v="0.32750000000000001"/>
    <n v="0.46"/>
    <n v="0.43"/>
    <n v="0"/>
    <n v="0.35"/>
    <n v="0.31521428571428572"/>
    <n v="0.31126788960708679"/>
    <n v="0.33181546639349813"/>
    <x v="0"/>
    <n v="0.28499999999999998"/>
    <n v="0.28000000000000003"/>
    <n v="3.681"/>
  </r>
  <r>
    <x v="166"/>
    <n v="2014"/>
    <n v="0.64"/>
    <n v="0.33"/>
    <n v="0.14000000000000001"/>
    <n v="0.28749999999999998"/>
    <n v="0.3075"/>
    <n v="0.45"/>
    <n v="0.42"/>
    <n v="0"/>
    <n v="0.34"/>
    <n v="0.30499999999999999"/>
    <n v="0.30028148526536325"/>
    <n v="0.33745155555609596"/>
    <x v="0"/>
    <n v="0.28999999999999998"/>
    <n v="0.28499999999999998"/>
    <n v="3.6469999999999998"/>
  </r>
  <r>
    <x v="167"/>
    <n v="2014"/>
    <n v="0.61"/>
    <n v="0.3"/>
    <n v="0.11"/>
    <n v="0.27029999999999998"/>
    <n v="0.29499999999999998"/>
    <n v="0.43"/>
    <n v="0.39"/>
    <n v="0"/>
    <n v="0.32"/>
    <n v="0.28647142857142854"/>
    <n v="0.28060888334551365"/>
    <n v="0.32780523780895249"/>
    <x v="0"/>
    <n v="0.28999999999999998"/>
    <n v="0.28499999999999998"/>
    <n v="3.411"/>
  </r>
  <r>
    <x v="168"/>
    <n v="2015"/>
    <n v="0.6"/>
    <n v="0.28999999999999998"/>
    <n v="0.1"/>
    <n v="0.25879999999999997"/>
    <n v="0.2525"/>
    <n v="0"/>
    <n v="0.38"/>
    <n v="0"/>
    <n v="0.31"/>
    <n v="0.21304285714285712"/>
    <n v="0.23876531525979366"/>
    <n v="0.3302963961849214"/>
    <x v="0"/>
    <n v="0.29499999999999998"/>
    <n v="3.5000000000000003E-2"/>
    <n v="2.9969999999999999"/>
  </r>
  <r>
    <x v="169"/>
    <n v="2015"/>
    <n v="0.55000000000000004"/>
    <n v="0.23"/>
    <n v="0.05"/>
    <n v="0.2185"/>
    <n v="0.17249999999999999"/>
    <n v="0"/>
    <n v="0.32"/>
    <n v="0"/>
    <n v="0.27"/>
    <n v="0.14014285714285715"/>
    <n v="0.11207031450153104"/>
    <n v="0.32410531720862862"/>
    <x v="0"/>
    <n v="0.3"/>
    <n v="0.04"/>
    <n v="2.8580000000000001"/>
  </r>
  <r>
    <x v="170"/>
    <n v="2015"/>
    <n v="0.44"/>
    <n v="0.13"/>
    <n v="0"/>
    <n v="0.13800000000000001"/>
    <n v="0.1275"/>
    <n v="0"/>
    <n v="0.22"/>
    <n v="0"/>
    <n v="0.18"/>
    <n v="9.5071428571428571E-2"/>
    <n v="7.5771472223387398E-2"/>
    <n v="0.32310523929435825"/>
    <x v="0"/>
    <n v="0.30499999999999999"/>
    <n v="0.04"/>
    <n v="2.8969999999999998"/>
  </r>
  <r>
    <x v="171"/>
    <n v="2015"/>
    <n v="0.41"/>
    <n v="0.09"/>
    <n v="0"/>
    <n v="0.10929999999999999"/>
    <n v="0.14000000000000001"/>
    <n v="0"/>
    <n v="0.18"/>
    <n v="0"/>
    <n v="0.16"/>
    <n v="8.4185714285714294E-2"/>
    <n v="6.9142828093792241E-2"/>
    <n v="0.35026275964738368"/>
    <x v="0"/>
    <n v="0.30499999999999999"/>
    <n v="0.04"/>
    <n v="2.782"/>
  </r>
  <r>
    <x v="172"/>
    <n v="2015"/>
    <n v="0.42"/>
    <n v="0.1"/>
    <n v="0"/>
    <n v="0.115"/>
    <n v="0.11499999999999999"/>
    <n v="0"/>
    <n v="0.19"/>
    <n v="0"/>
    <n v="0.16"/>
    <n v="8.2857142857142851E-2"/>
    <n v="6.6400175529735192E-2"/>
    <n v="0.35553525938320457"/>
    <x v="0"/>
    <n v="0.30499999999999999"/>
    <n v="0.04"/>
    <n v="2.8879999999999999"/>
  </r>
  <r>
    <x v="173"/>
    <n v="2015"/>
    <n v="0.39"/>
    <n v="0.08"/>
    <n v="0"/>
    <n v="9.7799999999999998E-2"/>
    <n v="0.13250000000000001"/>
    <n v="0"/>
    <n v="0.17"/>
    <n v="0"/>
    <n v="0.14000000000000001"/>
    <n v="7.7185714285714288E-2"/>
    <n v="6.2685553128398075E-2"/>
    <n v="0.34256565937108369"/>
    <x v="0"/>
    <n v="0.30499999999999999"/>
    <n v="0.04"/>
    <n v="2.8730000000000002"/>
  </r>
  <r>
    <x v="174"/>
    <n v="2015"/>
    <n v="0.41"/>
    <n v="0.1"/>
    <n v="0"/>
    <n v="0.115"/>
    <n v="0.13250000000000001"/>
    <n v="0"/>
    <n v="0.19"/>
    <n v="0"/>
    <n v="0.16"/>
    <n v="8.5357142857142868E-2"/>
    <n v="6.9068358183912576E-2"/>
    <n v="0.32687316583707221"/>
    <x v="0"/>
    <n v="0.30499999999999999"/>
    <n v="0.04"/>
    <n v="2.7879999999999998"/>
  </r>
  <r>
    <x v="175"/>
    <n v="2015"/>
    <n v="0.41"/>
    <n v="0.1"/>
    <n v="0"/>
    <n v="0.115"/>
    <n v="0.12"/>
    <n v="0"/>
    <n v="0.19"/>
    <n v="0"/>
    <n v="0.16"/>
    <n v="8.357142857142856E-2"/>
    <n v="6.716251343092873E-2"/>
    <n v="0.31085882332955256"/>
    <x v="0"/>
    <n v="0.30499999999999999"/>
    <n v="0.04"/>
    <n v="2.5950000000000002"/>
  </r>
  <r>
    <x v="176"/>
    <n v="2015"/>
    <n v="0.39"/>
    <n v="0.08"/>
    <n v="0"/>
    <n v="9.7799999999999998E-2"/>
    <n v="7.7499999999999999E-2"/>
    <n v="0"/>
    <n v="0.17"/>
    <n v="0"/>
    <n v="0.14000000000000001"/>
    <n v="6.9328571428571434E-2"/>
    <n v="5.4299836215269154E-2"/>
    <n v="0.31124443003751195"/>
    <x v="0"/>
    <n v="0.30499999999999999"/>
    <n v="0.04"/>
    <n v="2.5049999999999999"/>
  </r>
  <r>
    <x v="177"/>
    <n v="2015"/>
    <n v="0.34"/>
    <n v="0.03"/>
    <n v="0"/>
    <n v="5.7500000000000002E-2"/>
    <n v="5.7499999999999996E-2"/>
    <n v="0"/>
    <n v="0.12"/>
    <n v="0"/>
    <n v="0.1"/>
    <n v="4.7857142857142855E-2"/>
    <n v="3.7388617671068894E-2"/>
    <n v="0.32894768527666757"/>
    <x v="0"/>
    <n v="0.30499999999999999"/>
    <n v="0.04"/>
    <n v="2.5190000000000001"/>
  </r>
  <r>
    <x v="178"/>
    <n v="2015"/>
    <n v="0.32"/>
    <n v="0.01"/>
    <n v="0"/>
    <n v="4.0300000000000002E-2"/>
    <n v="5.5E-2"/>
    <n v="0"/>
    <n v="0.1"/>
    <n v="0"/>
    <n v="0.09"/>
    <n v="4.075714285714286E-2"/>
    <n v="3.2352320896750442E-2"/>
    <n v="0.33404548676098206"/>
    <x v="0"/>
    <n v="0.30499999999999999"/>
    <n v="3.9E-2"/>
    <n v="2.4670000000000001"/>
  </r>
  <r>
    <x v="179"/>
    <n v="2015"/>
    <n v="0.32"/>
    <n v="0.01"/>
    <n v="0"/>
    <n v="4.5999999999999999E-2"/>
    <n v="0.05"/>
    <n v="0"/>
    <n v="0.1"/>
    <n v="0"/>
    <n v="0.09"/>
    <n v="4.0857142857142863E-2"/>
    <n v="3.2365749760421274E-2"/>
    <n v="0.31838354982059747"/>
    <x v="0"/>
    <n v="0.30499999999999999"/>
    <n v="0.04"/>
    <n v="2.31"/>
  </r>
  <r>
    <x v="180"/>
    <n v="2016"/>
    <n v="0.31"/>
    <n v="0"/>
    <n v="0"/>
    <n v="3.4500000000000003E-2"/>
    <n v="2.5000000000000001E-2"/>
    <n v="0"/>
    <n v="0.09"/>
    <n v="0"/>
    <n v="0.08"/>
    <n v="3.2785714285714286E-2"/>
    <n v="2.5249924444910567E-2"/>
    <n v="0.29871051527244591"/>
    <x v="0"/>
    <n v="0.30499999999999999"/>
    <n v="0.04"/>
    <n v="2.1429999999999998"/>
  </r>
  <r>
    <x v="181"/>
    <n v="2016"/>
    <n v="0.27"/>
    <n v="-0.04"/>
    <n v="0"/>
    <n v="5.7999999999999996E-3"/>
    <n v="0"/>
    <n v="0"/>
    <n v="0.05"/>
    <n v="0"/>
    <n v="0.05"/>
    <n v="1.5114285714285716E-2"/>
    <n v="1.1435083749791332E-2"/>
    <n v="0.25606849949796295"/>
    <x v="0"/>
    <n v="0.3"/>
    <n v="0.03"/>
    <n v="1.998"/>
  </r>
  <r>
    <x v="182"/>
    <n v="2016"/>
    <n v="0.23"/>
    <n v="-0.08"/>
    <n v="0"/>
    <n v="0"/>
    <n v="0"/>
    <n v="0"/>
    <n v="0"/>
    <n v="0"/>
    <n v="0"/>
    <n v="0"/>
    <n v="0"/>
    <n v="0.24429595506440119"/>
    <x v="0"/>
    <n v="0.3"/>
    <n v="0.03"/>
    <n v="2.09"/>
  </r>
  <r>
    <x v="183"/>
    <n v="2016"/>
    <n v="0.19"/>
    <n v="-0.12"/>
    <n v="0"/>
    <n v="0"/>
    <n v="0"/>
    <n v="0"/>
    <n v="0"/>
    <n v="0"/>
    <n v="0"/>
    <n v="0"/>
    <n v="0"/>
    <n v="0.25979653422089566"/>
    <x v="0"/>
    <n v="0.29499999999999998"/>
    <n v="0.03"/>
    <n v="2.1520000000000001"/>
  </r>
  <r>
    <x v="184"/>
    <n v="2016"/>
    <n v="0.22"/>
    <n v="-0.1"/>
    <n v="0"/>
    <n v="0"/>
    <n v="0"/>
    <n v="0"/>
    <n v="0"/>
    <n v="0"/>
    <n v="0"/>
    <n v="0"/>
    <n v="0"/>
    <n v="0.25507629597242831"/>
    <x v="0"/>
    <n v="0.29499999999999998"/>
    <n v="0.03"/>
    <n v="2.3149999999999999"/>
  </r>
  <r>
    <x v="185"/>
    <n v="2016"/>
    <n v="0.23"/>
    <n v="-0.08"/>
    <n v="0"/>
    <n v="0"/>
    <n v="1.2500000000000001E-2"/>
    <n v="0"/>
    <n v="0"/>
    <n v="0"/>
    <n v="0"/>
    <n v="1.7857142857142859E-3"/>
    <n v="1.8220412347718486E-3"/>
    <n v="0.24225114870290052"/>
    <x v="0"/>
    <n v="0.29499999999999998"/>
    <n v="0.03"/>
    <n v="2.423"/>
  </r>
  <r>
    <x v="186"/>
    <n v="2016"/>
    <n v="0.27"/>
    <n v="-0.04"/>
    <n v="0"/>
    <n v="5.7999999999999996E-3"/>
    <n v="3.7500000000000006E-2"/>
    <n v="0"/>
    <n v="0.05"/>
    <n v="0"/>
    <n v="0.05"/>
    <n v="2.0471428571428574E-2"/>
    <n v="1.6901207454106879E-2"/>
    <n v="0.23991272877985251"/>
    <x v="0"/>
    <n v="0.29499999999999998"/>
    <n v="0.03"/>
    <n v="2.4049999999999998"/>
  </r>
  <r>
    <x v="187"/>
    <n v="2016"/>
    <n v="0.3"/>
    <n v="-0.01"/>
    <n v="0"/>
    <n v="2.8799999999999999E-2"/>
    <n v="3.5000000000000003E-2"/>
    <n v="0"/>
    <n v="0.08"/>
    <n v="0"/>
    <n v="7.0000000000000007E-2"/>
    <n v="3.0542857142857142E-2"/>
    <n v="2.3875286628393701E-2"/>
    <n v="0.23571032154251359"/>
    <x v="0"/>
    <n v="0.29499999999999998"/>
    <n v="0.03"/>
    <n v="2.351"/>
  </r>
  <r>
    <x v="188"/>
    <n v="2016"/>
    <n v="0.28999999999999998"/>
    <n v="-0.02"/>
    <n v="0"/>
    <n v="2.3E-2"/>
    <n v="0.02"/>
    <n v="0"/>
    <n v="7.0000000000000007E-2"/>
    <n v="0"/>
    <n v="7.0000000000000007E-2"/>
    <n v="2.6142857142857141E-2"/>
    <n v="2.0711471403562231E-2"/>
    <n v="0.23130619546209821"/>
    <x v="0"/>
    <n v="0.29499999999999998"/>
    <n v="3.5000000000000003E-2"/>
    <n v="2.3940000000000001"/>
  </r>
  <r>
    <x v="189"/>
    <n v="2016"/>
    <n v="0.28000000000000003"/>
    <n v="-0.03"/>
    <n v="0"/>
    <n v="1.15E-2"/>
    <n v="3.5000000000000003E-2"/>
    <n v="0"/>
    <n v="0.06"/>
    <n v="0"/>
    <n v="0.06"/>
    <n v="2.3785714285714282E-2"/>
    <n v="1.9369070011486855E-2"/>
    <n v="0.22607496730105855"/>
    <x v="0"/>
    <n v="0.3"/>
    <n v="4.4999999999999998E-2"/>
    <n v="2.4540000000000002"/>
  </r>
  <r>
    <x v="190"/>
    <n v="2016"/>
    <n v="0.28999999999999998"/>
    <n v="-0.02"/>
    <n v="0"/>
    <n v="2.3E-2"/>
    <n v="4.2500000000000003E-2"/>
    <n v="0"/>
    <n v="7.0000000000000007E-2"/>
    <n v="0"/>
    <n v="0.06"/>
    <n v="2.7928571428571431E-2"/>
    <n v="2.2124230563724746E-2"/>
    <n v="0.22238612549927961"/>
    <x v="0"/>
    <n v="0.315"/>
    <n v="0.05"/>
    <n v="2.4390000000000001"/>
  </r>
  <r>
    <x v="191"/>
    <n v="2016"/>
    <n v="0.31"/>
    <n v="-0.01"/>
    <n v="0"/>
    <n v="3.4500000000000003E-2"/>
    <n v="4.4999999999999998E-2"/>
    <n v="0"/>
    <n v="0.08"/>
    <n v="0"/>
    <n v="0.08"/>
    <n v="3.4214285714285711E-2"/>
    <n v="2.7884404746907517E-2"/>
    <n v="0.21043800484797437"/>
    <x v="0"/>
    <n v="0.32"/>
    <n v="0.05"/>
    <n v="2.5099999999999998"/>
  </r>
  <r>
    <x v="192"/>
    <n v="2017"/>
    <n v="0.3"/>
    <n v="-0.01"/>
    <n v="0"/>
    <n v="2.8799999999999999E-2"/>
    <n v="5.2499999999999998E-2"/>
    <n v="0"/>
    <n v="0.08"/>
    <n v="0"/>
    <n v="7.0000000000000007E-2"/>
    <n v="3.3042857142857145E-2"/>
    <n v="2.2748282902011949E-2"/>
    <n v="0.19247836549974187"/>
    <x v="0"/>
    <n v="0.32"/>
    <n v="0.1"/>
    <n v="2.58"/>
  </r>
  <r>
    <x v="193"/>
    <n v="2017"/>
    <n v="0.32"/>
    <n v="0.01"/>
    <n v="0"/>
    <n v="4.5999999999999999E-2"/>
    <n v="7.2500000000000009E-2"/>
    <n v="0"/>
    <n v="0.1"/>
    <n v="0"/>
    <n v="0.09"/>
    <n v="4.4071428571428574E-2"/>
    <n v="2.9977872238442629E-2"/>
    <n v="0.14837200396931829"/>
    <x v="0"/>
    <n v="0.32"/>
    <n v="0.1"/>
    <n v="2.5680000000000001"/>
  </r>
  <r>
    <x v="194"/>
    <n v="2017"/>
    <n v="0.34"/>
    <n v="0.03"/>
    <n v="0"/>
    <n v="5.7500000000000002E-2"/>
    <n v="6.7500000000000004E-2"/>
    <n v="0"/>
    <n v="0.12"/>
    <n v="0"/>
    <n v="0.1"/>
    <n v="4.928571428571428E-2"/>
    <n v="3.2695208394657081E-2"/>
    <n v="0.13346407546937303"/>
    <x v="0"/>
    <n v="0.38500000000000001"/>
    <n v="0.1"/>
    <n v="2.5539999999999998"/>
  </r>
  <r>
    <x v="195"/>
    <n v="2017"/>
    <n v="0.33"/>
    <n v="0.02"/>
    <n v="0"/>
    <n v="5.1799999999999999E-2"/>
    <n v="6.7500000000000004E-2"/>
    <n v="0"/>
    <n v="0.11"/>
    <n v="0"/>
    <n v="0.1"/>
    <n v="4.704285714285715E-2"/>
    <n v="3.2235558059332217E-2"/>
    <n v="0.13767361547784326"/>
    <x v="0"/>
    <n v="0.38"/>
    <n v="0.1"/>
    <n v="2.5830000000000002"/>
  </r>
  <r>
    <x v="196"/>
    <n v="2017"/>
    <n v="0.33"/>
    <n v="0.02"/>
    <n v="0"/>
    <n v="5.1799999999999999E-2"/>
    <n v="7.0000000000000007E-2"/>
    <n v="0"/>
    <n v="0.11"/>
    <n v="0"/>
    <n v="0.1"/>
    <n v="4.7399999999999998E-2"/>
    <n v="3.2441996157487329E-2"/>
    <n v="0.13716383932760048"/>
    <x v="0"/>
    <n v="0.38"/>
    <n v="9.5000000000000001E-2"/>
    <n v="2.56"/>
  </r>
  <r>
    <x v="197"/>
    <n v="2017"/>
    <n v="0.34"/>
    <n v="0.03"/>
    <n v="0"/>
    <n v="5.7500000000000002E-2"/>
    <n v="6.7500000000000004E-2"/>
    <n v="0"/>
    <n v="0.12"/>
    <n v="0"/>
    <n v="0.1"/>
    <n v="4.928571428571428E-2"/>
    <n v="3.2695208394657081E-2"/>
    <n v="0.13416115329252856"/>
    <x v="0"/>
    <n v="0.375"/>
    <n v="9.5000000000000001E-2"/>
    <n v="2.5110000000000001"/>
  </r>
  <r>
    <x v="198"/>
    <n v="2017"/>
    <n v="0.33"/>
    <n v="0.02"/>
    <n v="0"/>
    <n v="5.1799999999999999E-2"/>
    <n v="6.25E-2"/>
    <n v="0"/>
    <n v="0.11"/>
    <n v="0"/>
    <n v="0.1"/>
    <n v="4.6328571428571434E-2"/>
    <n v="3.1822681863021979E-2"/>
    <n v="0.13947692873284886"/>
    <x v="0"/>
    <n v="0.375"/>
    <n v="0.09"/>
    <n v="2.496"/>
  </r>
  <r>
    <x v="199"/>
    <n v="2017"/>
    <n v="0.32"/>
    <n v="0.01"/>
    <n v="0"/>
    <n v="4.5999999999999999E-2"/>
    <n v="5.2500000000000005E-2"/>
    <n v="0"/>
    <n v="0.1"/>
    <n v="0"/>
    <n v="0.09"/>
    <n v="4.121428571428571E-2"/>
    <n v="2.8326367453201697E-2"/>
    <n v="0.13955785168616724"/>
    <x v="0"/>
    <n v="0.37"/>
    <n v="0.09"/>
    <n v="2.5950000000000002"/>
  </r>
  <r>
    <x v="200"/>
    <n v="2017"/>
    <n v="0.32"/>
    <n v="0"/>
    <n v="0"/>
    <n v="4.0300000000000002E-2"/>
    <n v="7.0000000000000007E-2"/>
    <n v="0"/>
    <n v="0.09"/>
    <n v="0"/>
    <n v="0.08"/>
    <n v="4.0042857142857144E-2"/>
    <n v="2.7105103560887519E-2"/>
    <n v="0.13148998469600978"/>
    <x v="0"/>
    <n v="0.36499999999999999"/>
    <n v="0.09"/>
    <n v="2.7850000000000001"/>
  </r>
  <r>
    <x v="201"/>
    <n v="2017"/>
    <n v="0.34"/>
    <n v="0.03"/>
    <n v="0"/>
    <n v="5.7500000000000002E-2"/>
    <n v="0.10250000000000001"/>
    <n v="0"/>
    <n v="0.12"/>
    <n v="0"/>
    <n v="0.1"/>
    <n v="5.4285714285714284E-2"/>
    <n v="3.5585341768828715E-2"/>
    <n v="0.12267519242988084"/>
    <x v="0"/>
    <n v="0.36499999999999999"/>
    <n v="9.5000000000000001E-2"/>
    <n v="2.794"/>
  </r>
  <r>
    <x v="202"/>
    <n v="2017"/>
    <n v="0.39"/>
    <n v="0.08"/>
    <n v="0"/>
    <n v="9.7799999999999998E-2"/>
    <n v="0.115"/>
    <n v="0"/>
    <n v="0.17"/>
    <n v="0"/>
    <n v="0.14000000000000001"/>
    <n v="7.4685714285714286E-2"/>
    <n v="4.8241814572908298E-2"/>
    <n v="0.11825267890861281"/>
    <x v="0"/>
    <n v="0.375"/>
    <n v="9.5000000000000001E-2"/>
    <n v="2.9089999999999998"/>
  </r>
  <r>
    <x v="203"/>
    <n v="2017"/>
    <n v="0.39"/>
    <n v="0.08"/>
    <n v="0"/>
    <n v="9.7799999999999998E-2"/>
    <n v="0.13500000000000001"/>
    <n v="0"/>
    <n v="0.17"/>
    <n v="0"/>
    <n v="0.14000000000000001"/>
    <n v="7.7542857142857149E-2"/>
    <n v="4.9893319358149231E-2"/>
    <n v="0.11361967928428081"/>
    <x v="0"/>
    <n v="0.38"/>
    <n v="0.1"/>
    <n v="2.9089999999999998"/>
  </r>
  <r>
    <x v="204"/>
    <n v="2018"/>
    <n v="0.42"/>
    <n v="0.11"/>
    <n v="0"/>
    <n v="0.1208"/>
    <n v="0.14000000000000001"/>
    <n v="0"/>
    <n v="0.2"/>
    <n v="0"/>
    <n v="0.17"/>
    <n v="9.0114285714285716E-2"/>
    <n v="5.4781555193368706E-2"/>
    <n v="9.5587840868905385E-2"/>
    <x v="0"/>
    <n v="0.38"/>
    <n v="0.09"/>
    <n v="3.0179999999999998"/>
  </r>
  <r>
    <x v="205"/>
    <n v="2018"/>
    <n v="0.42"/>
    <n v="0.11"/>
    <n v="0"/>
    <n v="0.1208"/>
    <n v="0.16"/>
    <n v="0"/>
    <n v="0.2"/>
    <n v="0"/>
    <n v="0.17"/>
    <n v="9.297142857142858E-2"/>
    <n v="5.6294531524752028E-2"/>
    <n v="5.1161090163255006E-2"/>
    <x v="0"/>
    <n v="0.37"/>
    <n v="0.09"/>
    <n v="3.0459999999999998"/>
  </r>
  <r>
    <x v="206"/>
    <n v="2018"/>
    <n v="0.45"/>
    <n v="0.13"/>
    <n v="0"/>
    <n v="0.13800000000000001"/>
    <n v="0.17249999999999999"/>
    <n v="0"/>
    <n v="0.22"/>
    <n v="0"/>
    <n v="0.19"/>
    <n v="0.10292857142857141"/>
    <n v="6.2485533744512052E-2"/>
    <n v="3.6155560206014827E-2"/>
    <x v="0"/>
    <n v="0.38500000000000001"/>
    <n v="0.105"/>
    <n v="2.988"/>
  </r>
  <r>
    <x v="207"/>
    <n v="2018"/>
    <n v="0.45"/>
    <n v="0.14000000000000001"/>
    <n v="0"/>
    <n v="0.14380000000000001"/>
    <n v="0.1575"/>
    <n v="0"/>
    <n v="0.23"/>
    <n v="0"/>
    <n v="0.19"/>
    <n v="0.10304285714285714"/>
    <n v="6.182905503265354E-2"/>
    <n v="3.3792795384374817E-2"/>
    <x v="0"/>
    <n v="0.4"/>
    <n v="0.11"/>
    <n v="3.0960000000000001"/>
  </r>
  <r>
    <x v="208"/>
    <n v="2018"/>
    <n v="0.44"/>
    <n v="0.13"/>
    <n v="0"/>
    <n v="0.1323"/>
    <n v="0.17749999999999999"/>
    <n v="0"/>
    <n v="0.22"/>
    <n v="0"/>
    <n v="0.18"/>
    <n v="0.1014"/>
    <n v="6.0595348714089614E-2"/>
    <n v="3.2947390562407509E-2"/>
    <x v="0"/>
    <n v="0.40500000000000003"/>
    <n v="0.11"/>
    <n v="3.2440000000000002"/>
  </r>
  <r>
    <x v="209"/>
    <n v="2018"/>
    <n v="0.47"/>
    <n v="0.15"/>
    <n v="0"/>
    <n v="0.15529999999999999"/>
    <n v="0.20250000000000001"/>
    <n v="0"/>
    <n v="0.24"/>
    <n v="0"/>
    <n v="0.2"/>
    <n v="0.11397142857142858"/>
    <n v="6.7979934428213262E-2"/>
    <n v="3.2400934252609002E-2"/>
    <x v="0"/>
    <n v="0.41"/>
    <n v="0.115"/>
    <n v="3.2530000000000001"/>
  </r>
  <r>
    <x v="210"/>
    <n v="2018"/>
    <n v="0.5"/>
    <n v="0.19"/>
    <n v="0"/>
    <n v="0.184"/>
    <n v="0.215"/>
    <n v="0"/>
    <n v="0.28000000000000003"/>
    <n v="0"/>
    <n v="0.23"/>
    <n v="0.12985714285714287"/>
    <n v="7.7147899547350463E-2"/>
    <n v="3.9264082500347144E-2"/>
    <x v="0"/>
    <n v="0.41"/>
    <n v="0.115"/>
    <n v="3.2330000000000001"/>
  </r>
  <r>
    <x v="211"/>
    <n v="2018"/>
    <n v="0.51"/>
    <n v="0.19"/>
    <n v="0.01"/>
    <n v="0.184"/>
    <n v="0.20749999999999999"/>
    <n v="0"/>
    <n v="0.28000000000000003"/>
    <n v="0"/>
    <n v="0.24"/>
    <n v="0.1302142857142857"/>
    <n v="7.860526465060523E-2"/>
    <n v="3.9788055837508045E-2"/>
    <x v="0"/>
    <n v="0.41999999999999987"/>
    <n v="0.12"/>
    <n v="3.218"/>
  </r>
  <r>
    <x v="212"/>
    <n v="2018"/>
    <n v="0.5"/>
    <n v="0.19"/>
    <n v="0"/>
    <n v="0.184"/>
    <n v="0.20499999999999999"/>
    <n v="0"/>
    <n v="0.28000000000000003"/>
    <n v="0"/>
    <n v="0.23"/>
    <n v="0.12842857142857142"/>
    <n v="7.6391411381658808E-2"/>
    <n v="3.4038803726572968E-2"/>
    <x v="0"/>
    <n v="0.42999999999999977"/>
    <n v="0.13500000000000001"/>
    <n v="3.262"/>
  </r>
  <r>
    <x v="213"/>
    <n v="2018"/>
    <n v="0.5"/>
    <n v="0.18"/>
    <n v="0"/>
    <n v="0.17829999999999999"/>
    <n v="0.21249999999999999"/>
    <n v="0"/>
    <n v="0.27"/>
    <n v="0"/>
    <n v="0.24"/>
    <n v="0.12868571428571429"/>
    <n v="7.8509530598276367E-2"/>
    <n v="3.0781009817128155E-2"/>
    <x v="0"/>
    <n v="0.44499999999999962"/>
    <n v="0.14000000000000001"/>
    <n v="3.3650000000000002"/>
  </r>
  <r>
    <x v="214"/>
    <n v="2018"/>
    <n v="0.51"/>
    <n v="0.2"/>
    <n v="0.01"/>
    <n v="0.1898"/>
    <n v="0.23499999999999999"/>
    <n v="0"/>
    <n v="0.28999999999999998"/>
    <n v="0"/>
    <n v="0.24"/>
    <n v="0.13639999999999999"/>
    <n v="8.1163860642936278E-2"/>
    <n v="3.4239455344461163E-2"/>
    <x v="0"/>
    <n v="0.45499999999999952"/>
    <n v="0.14499999999999999"/>
    <n v="3.3"/>
  </r>
  <r>
    <x v="215"/>
    <n v="2018"/>
    <n v="0.53"/>
    <n v="0.22"/>
    <n v="0.03"/>
    <n v="0.20699999999999999"/>
    <n v="0.22500000000000001"/>
    <n v="0"/>
    <n v="0.31"/>
    <n v="0"/>
    <n v="0.26"/>
    <n v="0.14314285714285716"/>
    <n v="8.5652764489890065E-2"/>
    <n v="3.6714491288492669E-2"/>
    <x v="0"/>
    <n v="0.46499999999999941"/>
    <n v="0.15"/>
    <n v="3.1230000000000002"/>
  </r>
  <r>
    <x v="216"/>
    <n v="2019"/>
    <n v="0.52"/>
    <n v="0.21"/>
    <n v="0.02"/>
    <n v="0.19550000000000001"/>
    <n v="0.1875"/>
    <n v="0"/>
    <n v="0.3"/>
    <n v="0"/>
    <n v="0.25"/>
    <n v="0.13328571428571429"/>
    <n v="8.4064640368242322E-2"/>
    <n v="3.4259920846763742E-2"/>
    <x v="0"/>
    <n v="0.46999999999999936"/>
    <n v="0.14000000000000001"/>
    <n v="2.98"/>
  </r>
  <r>
    <x v="217"/>
    <n v="2019"/>
    <n v="0.47"/>
    <n v="0.16"/>
    <n v="0"/>
    <n v="0.161"/>
    <n v="0.16"/>
    <n v="0"/>
    <n v="0.25"/>
    <n v="0"/>
    <n v="0.21"/>
    <n v="0.11157142857142856"/>
    <n v="7.0574740476075523E-2"/>
    <n v="3.2569162504328668E-2"/>
    <x v="0"/>
    <n v="0.45499999999999952"/>
    <n v="0.14000000000000001"/>
    <n v="2.9969999999999999"/>
  </r>
  <r>
    <x v="218"/>
    <n v="2019"/>
    <n v="0.44"/>
    <n v="0.13"/>
    <n v="0"/>
    <n v="0.1323"/>
    <n v="0.1525"/>
    <n v="0"/>
    <n v="0.22"/>
    <n v="0"/>
    <n v="0.18"/>
    <n v="9.7828571428571445E-2"/>
    <n v="6.1471798078315876E-2"/>
    <n v="3.1726914046389713E-2"/>
    <x v="0"/>
    <n v="0.45999999999999946"/>
    <n v="0.16500000000000001"/>
    <n v="3.0760000000000001"/>
  </r>
  <r>
    <x v="219"/>
    <n v="2019"/>
    <n v="0.44"/>
    <n v="0.13"/>
    <n v="0"/>
    <n v="0.13800000000000001"/>
    <n v="0.17499999999999999"/>
    <n v="0"/>
    <n v="0.22"/>
    <n v="0"/>
    <n v="0.18"/>
    <n v="0.10185714285714287"/>
    <n v="6.3335514943749699E-2"/>
    <n v="3.1354871030661917E-2"/>
    <x v="0"/>
    <n v="0.48499999999999921"/>
    <n v="0.155"/>
    <n v="3.121"/>
  </r>
  <r>
    <x v="220"/>
    <n v="2019"/>
    <n v="0.46"/>
    <n v="0.15"/>
    <n v="0"/>
    <n v="0.14949999999999999"/>
    <n v="0.18"/>
    <n v="0"/>
    <n v="0.24"/>
    <n v="0"/>
    <n v="0.2"/>
    <n v="0.10992857142857144"/>
    <n v="6.9034491735470688E-2"/>
    <n v="3.1012448290525647E-2"/>
    <x v="0"/>
    <n v="0.46499999999999941"/>
    <n v="0.15"/>
    <n v="3.161"/>
  </r>
  <r>
    <x v="221"/>
    <n v="2019"/>
    <n v="0.47"/>
    <n v="0.16"/>
    <n v="0"/>
    <n v="0.161"/>
    <n v="0.1925"/>
    <n v="0"/>
    <n v="0.25"/>
    <n v="0"/>
    <n v="0.21"/>
    <n v="0.11621428571428571"/>
    <n v="7.286806890058424E-2"/>
    <n v="3.4165728019214067E-2"/>
    <x v="0"/>
    <n v="0.46999999999999936"/>
    <n v="0.22500000000000001"/>
    <n v="3.089"/>
  </r>
  <r>
    <x v="222"/>
    <n v="2019"/>
    <n v="0.48"/>
    <n v="0.17"/>
    <n v="0"/>
    <n v="0.1668"/>
    <n v="0.17749999999999999"/>
    <n v="0"/>
    <n v="0.26"/>
    <n v="0"/>
    <n v="0.22"/>
    <n v="0.11775714285714287"/>
    <n v="7.4485109442647232E-2"/>
    <n v="4.1957262954826435E-2"/>
    <x v="0"/>
    <n v="0.46499999999999941"/>
    <n v="0.22500000000000001"/>
    <n v="3.0449999999999999"/>
  </r>
  <r>
    <x v="223"/>
    <n v="2019"/>
    <n v="0.46"/>
    <n v="0.15"/>
    <n v="0"/>
    <n v="0.15529999999999999"/>
    <n v="0.17"/>
    <n v="0"/>
    <n v="0.24"/>
    <n v="0"/>
    <n v="0.2"/>
    <n v="0.10932857142857144"/>
    <n v="6.8609722772117882E-2"/>
    <n v="4.3602306244066878E-2"/>
    <x v="0"/>
    <n v="0.45999999999999946"/>
    <n v="0.22"/>
    <n v="3.0049999999999999"/>
  </r>
  <r>
    <x v="224"/>
    <n v="2019"/>
    <n v="0.45"/>
    <n v="0.14000000000000001"/>
    <n v="0"/>
    <n v="0.14380000000000001"/>
    <n v="0.16250000000000001"/>
    <n v="0"/>
    <n v="0.23"/>
    <n v="0"/>
    <n v="0.19"/>
    <n v="0.10375714285714285"/>
    <n v="6.5128965364621053E-2"/>
    <n v="4.1402662115369519E-2"/>
    <x v="0"/>
    <n v="0.46499999999999941"/>
    <n v="0.22"/>
    <n v="3.016"/>
  </r>
  <r>
    <x v="225"/>
    <n v="2019"/>
    <n v="0.44"/>
    <n v="0.13"/>
    <n v="0"/>
    <n v="0.13800000000000001"/>
    <n v="0.16"/>
    <n v="0"/>
    <n v="0.22"/>
    <n v="0"/>
    <n v="0.19"/>
    <n v="0.10114285714285713"/>
    <n v="6.437150628490497E-2"/>
    <n v="4.4487980792863979E-2"/>
    <x v="0"/>
    <n v="0.46999999999999936"/>
    <n v="0.22500000000000001"/>
    <n v="3.0529999999999999"/>
  </r>
  <r>
    <x v="226"/>
    <n v="2019"/>
    <n v="0.45"/>
    <n v="0.13"/>
    <n v="0"/>
    <n v="0.13800000000000001"/>
    <n v="0.17"/>
    <n v="0"/>
    <n v="0.22"/>
    <n v="0"/>
    <n v="0.19"/>
    <n v="0.10257142857142856"/>
    <n v="6.5077145800138417E-2"/>
    <n v="5.050996859318977E-2"/>
    <x v="0"/>
    <n v="0.47499999999999931"/>
    <n v="0.22"/>
    <n v="3.069"/>
  </r>
  <r>
    <x v="227"/>
    <n v="2019"/>
    <n v="0.46"/>
    <n v="0.14000000000000001"/>
    <n v="0"/>
    <n v="0.14949999999999999"/>
    <n v="0.17249999999999999"/>
    <n v="0"/>
    <n v="0.23"/>
    <n v="0"/>
    <n v="0.2"/>
    <n v="0.10742857142857143"/>
    <n v="6.8205083450018508E-2"/>
    <n v="5.4476829531648931E-2"/>
    <x v="0"/>
    <n v="0.46999999999999936"/>
    <n v="0.22500000000000001"/>
    <n v="3.0550000000000002"/>
  </r>
  <r>
    <x v="228"/>
    <n v="2020"/>
    <n v="0.46"/>
    <n v="0.15"/>
    <n v="0"/>
    <n v="0.14949999999999999"/>
    <n v="0.17"/>
    <n v="0"/>
    <n v="0.24"/>
    <n v="0"/>
    <n v="0.2"/>
    <n v="0.10850000000000001"/>
    <n v="6.9875350005412368E-2"/>
    <n v="5.3864826154540996E-2"/>
    <x v="0"/>
    <n v="0.47499999999999931"/>
    <n v="0.23499999999999999"/>
    <n v="3.048"/>
  </r>
  <r>
    <x v="229"/>
    <n v="2020"/>
    <n v="0.46"/>
    <n v="0.14000000000000001"/>
    <n v="0"/>
    <n v="0.14949999999999999"/>
    <n v="0.17249999999999999"/>
    <n v="0"/>
    <n v="0.23"/>
    <n v="0"/>
    <n v="0.2"/>
    <n v="0.10742857142857143"/>
    <n v="6.9800445630032459E-2"/>
    <n v="5.2282381413090051E-2"/>
    <x v="0"/>
    <n v="0.47999999999999926"/>
    <n v="0.23499999999999999"/>
    <n v="2.91"/>
  </r>
  <r>
    <x v="230"/>
    <n v="2020"/>
    <n v="0.45"/>
    <n v="0.14000000000000001"/>
    <n v="0"/>
    <n v="0.14380000000000001"/>
    <n v="0.14500000000000002"/>
    <n v="0"/>
    <n v="0.23"/>
    <n v="0"/>
    <n v="0.19"/>
    <n v="0.10125714285714287"/>
    <n v="6.5373678533228466E-2"/>
    <n v="5.2217513405828336E-2"/>
    <x v="0"/>
    <n v="0.48499999999999921"/>
    <n v="0.215"/>
    <n v="2.7290000000000001"/>
  </r>
  <r>
    <x v="231"/>
    <n v="2020"/>
    <n v="0.42"/>
    <n v="0.11"/>
    <n v="0"/>
    <n v="0.1208"/>
    <n v="0.11"/>
    <n v="0"/>
    <n v="0.2"/>
    <n v="0"/>
    <n v="0.17"/>
    <n v="8.5828571428571435E-2"/>
    <n v="5.6601171642881309E-2"/>
    <n v="5.2466709345245145E-2"/>
    <x v="0"/>
    <n v="0.45499999999999952"/>
    <n v="0.185"/>
    <n v="2.4929999999999999"/>
  </r>
  <r>
    <x v="232"/>
    <n v="2020"/>
    <n v="0.37"/>
    <n v="0.06"/>
    <n v="0"/>
    <n v="8.6300000000000002E-2"/>
    <n v="6.25E-2"/>
    <n v="0"/>
    <n v="0.15"/>
    <n v="0"/>
    <n v="0.13"/>
    <n v="6.125714285714285E-2"/>
    <n v="4.1418848250370351E-2"/>
    <n v="5.4023945535682544E-2"/>
    <x v="0"/>
    <n v="0.41499999999999992"/>
    <n v="0.14000000000000001"/>
    <n v="2.3919999999999999"/>
  </r>
  <r>
    <x v="233"/>
    <n v="2020"/>
    <n v="0.32"/>
    <n v="0"/>
    <n v="0"/>
    <n v="4.0300000000000002E-2"/>
    <n v="3.2500000000000001E-2"/>
    <n v="0"/>
    <n v="0.09"/>
    <n v="0"/>
    <n v="0.08"/>
    <n v="3.4685714285714285E-2"/>
    <n v="2.4399468983407911E-2"/>
    <n v="5.7847737241151526E-2"/>
    <x v="0"/>
    <n v="0.38"/>
    <n v="0.125"/>
    <n v="2.4079999999999999"/>
  </r>
  <r>
    <x v="234"/>
    <n v="2020"/>
    <n v="0.28999999999999998"/>
    <n v="-0.02"/>
    <n v="0"/>
    <n v="2.3E-2"/>
    <n v="3.2500000000000001E-2"/>
    <n v="0"/>
    <n v="7.0000000000000007E-2"/>
    <n v="0"/>
    <n v="0.06"/>
    <n v="2.6499999999999999E-2"/>
    <n v="1.8575582244743011E-2"/>
    <n v="6.1151896951006562E-2"/>
    <x v="0"/>
    <n v="0.38"/>
    <n v="0.16"/>
    <n v="2.4340000000000002"/>
  </r>
  <r>
    <x v="235"/>
    <n v="2020"/>
    <n v="0.28999999999999998"/>
    <n v="-0.02"/>
    <n v="0"/>
    <n v="2.3E-2"/>
    <n v="0.04"/>
    <n v="0"/>
    <n v="7.0000000000000007E-2"/>
    <n v="0"/>
    <n v="7.0000000000000007E-2"/>
    <n v="2.9000000000000001E-2"/>
    <n v="2.1341200301880851E-2"/>
    <n v="5.8513784958641596E-2"/>
    <x v="0"/>
    <n v="0.41"/>
    <n v="0.185"/>
    <n v="2.4289999999999998"/>
  </r>
  <r>
    <x v="236"/>
    <n v="2020"/>
    <n v="0.3"/>
    <n v="-0.01"/>
    <n v="0"/>
    <n v="2.8799999999999999E-2"/>
    <n v="0.04"/>
    <n v="0"/>
    <n v="0.08"/>
    <n v="0"/>
    <n v="7.0000000000000007E-2"/>
    <n v="3.1257142857142858E-2"/>
    <n v="2.1869517830878597E-2"/>
    <n v="5.6208493435722463E-2"/>
    <x v="0"/>
    <n v="0.42999999999999977"/>
    <n v="0.185"/>
    <n v="2.4140000000000001"/>
  </r>
  <r>
    <x v="237"/>
    <n v="2020"/>
    <n v="0.3"/>
    <n v="-0.01"/>
    <n v="0"/>
    <n v="2.8799999999999999E-2"/>
    <n v="3.7500000000000006E-2"/>
    <n v="0"/>
    <n v="0.08"/>
    <n v="0"/>
    <n v="7.0000000000000007E-2"/>
    <n v="3.09E-2"/>
    <n v="2.1696294011359137E-2"/>
    <n v="5.9488792884003348E-2"/>
    <x v="0"/>
    <n v="0.42999999999999977"/>
    <n v="0.16"/>
    <n v="2.3889999999999998"/>
  </r>
  <r>
    <x v="238"/>
    <n v="2020"/>
    <n v="0.3"/>
    <n v="-0.02"/>
    <n v="0"/>
    <n v="2.3E-2"/>
    <n v="0.03"/>
    <n v="0"/>
    <n v="7.0000000000000007E-2"/>
    <n v="0"/>
    <n v="7.0000000000000007E-2"/>
    <n v="2.7571428571428573E-2"/>
    <n v="2.0648305023803017E-2"/>
    <n v="6.4827607005327664E-2"/>
    <x v="0"/>
    <n v="0.40500000000000003"/>
    <n v="0.14000000000000001"/>
    <n v="2.4319999999999999"/>
  </r>
  <r>
    <x v="239"/>
    <n v="2020"/>
    <n v="0.28999999999999998"/>
    <n v="-0.02"/>
    <n v="0"/>
    <n v="1.7299999999999999E-2"/>
    <n v="3.7499999999999999E-2"/>
    <n v="0"/>
    <n v="7.0000000000000007E-2"/>
    <n v="0"/>
    <n v="0.06"/>
    <n v="2.6400000000000003E-2"/>
    <n v="1.8646671400271448E-2"/>
    <n v="6.7917055766019266E-2"/>
    <x v="0"/>
    <n v="0.41"/>
    <n v="0.13500000000000001"/>
    <n v="2.585"/>
  </r>
  <r>
    <x v="240"/>
    <n v="2021"/>
    <n v="0.3"/>
    <n v="-0.01"/>
    <n v="0"/>
    <n v="2.8799999999999999E-2"/>
    <n v="6.7500000000000004E-2"/>
    <n v="0"/>
    <n v="0.08"/>
    <n v="0"/>
    <n v="7.0000000000000007E-2"/>
    <n v="3.5185714285714285E-2"/>
    <n v="2.519392248255364E-2"/>
    <n v="6.9573848522341122E-2"/>
    <x v="0"/>
    <n v="0.41499999999999992"/>
    <n v="0.17499999999999999"/>
    <n v="2.681"/>
  </r>
  <r>
    <x v="241"/>
    <n v="2021"/>
    <n v="0.34"/>
    <n v="0.03"/>
    <n v="0"/>
    <n v="5.7500000000000002E-2"/>
    <n v="9.2499999999999999E-2"/>
    <n v="0"/>
    <n v="0.12"/>
    <n v="0"/>
    <n v="0.1"/>
    <n v="5.2857142857142859E-2"/>
    <n v="3.6659594218519539E-2"/>
    <n v="6.5556572543620004E-2"/>
    <x v="0"/>
    <n v="0.43999999999999967"/>
    <n v="0.2"/>
    <n v="2.847"/>
  </r>
  <r>
    <x v="242"/>
    <n v="2021"/>
    <n v="0.36"/>
    <n v="0.05"/>
    <n v="0"/>
    <n v="7.4800000000000005E-2"/>
    <n v="0.125"/>
    <n v="0"/>
    <n v="0.14000000000000001"/>
    <n v="0"/>
    <n v="0.12"/>
    <n v="6.5685714285714278E-2"/>
    <n v="4.5221085434282833E-2"/>
    <n v="6.311033678535212E-2"/>
    <x v="0"/>
    <n v="0.46499999999999941"/>
    <n v="0.23499999999999999"/>
    <n v="3.1520000000000001"/>
  </r>
  <r>
    <x v="243"/>
    <n v="2021"/>
    <n v="0.4"/>
    <n v="0.09"/>
    <n v="0"/>
    <n v="0.114"/>
    <n v="0.19"/>
    <n v="0"/>
    <n v="0.18"/>
    <n v="0"/>
    <n v="0.15"/>
    <n v="9.0571428571428567E-2"/>
    <n v="6.0210713302141075E-2"/>
    <n v="6.0588580539761516E-2"/>
    <x v="0"/>
    <n v="0.49499999999999911"/>
    <n v="0.245"/>
    <n v="3.13"/>
  </r>
  <r>
    <x v="244"/>
    <n v="2021"/>
    <n v="0.48"/>
    <n v="0.17"/>
    <n v="0"/>
    <n v="0.17399999999999999"/>
    <n v="0.1875"/>
    <n v="0"/>
    <n v="0.26"/>
    <n v="0"/>
    <n v="0.22"/>
    <n v="0.1202142857142857"/>
    <n v="8.1686674401634879E-2"/>
    <n v="5.7016229566643546E-2"/>
    <x v="0"/>
    <n v="0.50499999999999901"/>
    <n v="0.245"/>
    <n v="3.2170000000000001"/>
  </r>
  <r>
    <x v="245"/>
    <n v="2021"/>
    <n v="0.48"/>
    <n v="0.16"/>
    <n v="0"/>
    <n v="0.16800000000000001"/>
    <n v="0.20250000000000001"/>
    <n v="0"/>
    <n v="0.25"/>
    <n v="0"/>
    <n v="0.21"/>
    <n v="0.11864285714285715"/>
    <n v="7.9884699980476995E-2"/>
    <n v="5.5082490770735133E-2"/>
    <x v="0"/>
    <n v="0.50499999999999901"/>
    <n v="0.26"/>
    <n v="3.2869999999999999"/>
  </r>
  <r>
    <x v="246"/>
    <n v="2021"/>
    <n v="0.5"/>
    <n v="0.18"/>
    <n v="0"/>
    <n v="0.186"/>
    <n v="0.2175"/>
    <n v="0"/>
    <n v="0.27"/>
    <n v="0"/>
    <n v="0.23"/>
    <n v="0.12907142857142856"/>
    <n v="8.7165967030625874E-2"/>
    <n v="5.6736197078246897E-2"/>
    <x v="0"/>
    <n v="0.51499999999999879"/>
    <n v="0.26"/>
    <n v="3.339"/>
  </r>
  <r>
    <x v="247"/>
    <n v="2021"/>
    <n v="0.51"/>
    <n v="0.2"/>
    <n v="0.01"/>
    <n v="0.19800000000000001"/>
    <n v="0.22750000000000001"/>
    <n v="0"/>
    <n v="0.28999999999999998"/>
    <n v="0"/>
    <n v="0.24"/>
    <n v="0.13650000000000001"/>
    <n v="9.1414590584866035E-2"/>
    <n v="5.6185395908201319E-2"/>
    <x v="0"/>
    <n v="0.51499999999999879"/>
    <n v="0.25"/>
    <n v="3.35"/>
  </r>
  <r>
    <x v="248"/>
    <n v="2021"/>
    <n v="0.53"/>
    <n v="0.21"/>
    <n v="0.03"/>
    <n v="0.21"/>
    <n v="0.23249999999999998"/>
    <n v="0"/>
    <n v="0.3"/>
    <n v="0"/>
    <n v="0.25"/>
    <n v="0.14178571428571426"/>
    <n v="9.501559241913729E-2"/>
    <n v="5.4463298192386156E-2"/>
    <x v="0"/>
    <n v="0.49999999999999906"/>
    <n v="0.25"/>
    <n v="3.3839999999999999"/>
  </r>
  <r>
    <x v="249"/>
    <n v="2021"/>
    <n v="0.53"/>
    <n v="0.22"/>
    <n v="0.03"/>
    <n v="0.216"/>
    <n v="0.23749999999999999"/>
    <n v="0"/>
    <n v="0.31"/>
    <n v="0"/>
    <n v="0.26"/>
    <n v="0.14621428571428571"/>
    <n v="9.8320199476070957E-2"/>
    <n v="5.4859110298180157E-2"/>
    <x v="0"/>
    <n v="0.49499999999999911"/>
    <n v="0.25"/>
    <n v="3.6120000000000001"/>
  </r>
  <r>
    <x v="250"/>
    <n v="2021"/>
    <n v="0.54"/>
    <n v="0.23"/>
    <n v="0.04"/>
    <n v="0.26400000000000001"/>
    <n v="0.28249999999999997"/>
    <n v="0"/>
    <n v="0.32"/>
    <n v="0"/>
    <n v="0.26"/>
    <n v="0.16092857142857145"/>
    <n v="0.10434424468629211"/>
    <n v="5.5629770488959236E-2"/>
    <x v="0"/>
    <n v="0.49499999999999911"/>
    <n v="0.26"/>
    <n v="3.7269999999999999"/>
  </r>
  <r>
    <x v="251"/>
    <n v="2021"/>
    <n v="0.6"/>
    <n v="0.28000000000000003"/>
    <n v="0.1"/>
    <n v="0.318"/>
    <n v="0.31"/>
    <n v="0"/>
    <n v="0.37"/>
    <n v="0"/>
    <n v="0.33"/>
    <n v="0.18971428571428572"/>
    <n v="0.12696186927903713"/>
    <n v="5.750150644672667E-2"/>
    <x v="0"/>
    <n v="0.50499999999999901"/>
    <n v="0.255"/>
    <n v="3.641"/>
  </r>
  <r>
    <x v="252"/>
    <n v="2022"/>
    <n v="0.62"/>
    <n v="0.31"/>
    <n v="0.12"/>
    <n v="0.34799999999999998"/>
    <n v="0.29749999999999999"/>
    <n v="0.44"/>
    <n v="0.4"/>
    <n v="0"/>
    <n v="0.33"/>
    <n v="0.27650000000000002"/>
    <n v="0.2147440999968788"/>
    <n v="5.9711304285402778E-2"/>
    <x v="0"/>
    <n v="0.49999999999999906"/>
    <n v="0.26500000000000001"/>
    <n v="3.7240000000000002"/>
  </r>
  <r>
    <x v="253"/>
    <n v="2022"/>
    <n v="0.6"/>
    <n v="0.28999999999999998"/>
    <n v="0.1"/>
    <n v="0.32400000000000001"/>
    <n v="0.30249999999999999"/>
    <n v="0.42"/>
    <n v="0.38"/>
    <n v="0"/>
    <n v="0.31"/>
    <n v="0.26235714285714284"/>
    <n v="0.19836545762373808"/>
    <n v="5.9011593441542505E-2"/>
    <x v="0"/>
    <n v="0.5099999999999989"/>
    <n v="0.27500000000000002"/>
    <n v="4.032"/>
  </r>
  <r>
    <x v="254"/>
    <n v="2022"/>
    <n v="0.62"/>
    <n v="0.31"/>
    <n v="0.12"/>
    <n v="0.37"/>
    <n v="0.36"/>
    <n v="0.44"/>
    <n v="0.4"/>
    <n v="0"/>
    <n v="0.33"/>
    <n v="0.28857142857142859"/>
    <n v="0.22087669695744749"/>
    <n v="5.7355520681942392E-2"/>
    <x v="0"/>
    <n v="0.52999999999999847"/>
    <n v="0.28000000000000003"/>
    <n v="5.1050000000000004"/>
  </r>
  <r>
    <x v="255"/>
    <n v="2022"/>
    <n v="0.7"/>
    <n v="0.39"/>
    <n v="0.2"/>
    <n v="0.45450000000000002"/>
    <n v="0.54"/>
    <n v="0.51"/>
    <n v="0.48"/>
    <n v="0"/>
    <n v="0.39"/>
    <n v="0.36778571428571427"/>
    <n v="0.29557286268813743"/>
    <n v="6.0049133296257363E-2"/>
    <x v="0"/>
    <n v="0.52499999999999858"/>
    <n v="0.28999999999999998"/>
    <n v="5.12"/>
  </r>
  <r>
    <x v="256"/>
    <n v="2022"/>
    <n v="0.97"/>
    <n v="0.66"/>
    <n v="0.47"/>
    <n v="0.73399999999999999"/>
    <n v="0.60499999999999998"/>
    <n v="0.78"/>
    <n v="0.75"/>
    <n v="0"/>
    <n v="0.61"/>
    <n v="0.56414285714285717"/>
    <n v="0.51258372291129495"/>
    <n v="6.4046671462491975E-2"/>
    <x v="0"/>
    <n v="0.54499999999999815"/>
    <n v="0.29749999999999999"/>
    <n v="5.5709999999999997"/>
  </r>
  <r>
    <x v="257"/>
    <n v="2022"/>
    <n v="0.97"/>
    <n v="0.66"/>
    <n v="0.47"/>
    <n v="0.73399999999999999"/>
    <n v="0.69750000000000001"/>
    <n v="0.79"/>
    <n v="0.75"/>
    <n v="0"/>
    <n v="0.61"/>
    <n v="0.57878571428571424"/>
    <n v="0.5202985446113394"/>
    <n v="5.9050745954823049E-2"/>
    <x v="0"/>
    <n v="0.55999999999999783"/>
    <n v="0.30499999999999999"/>
    <n v="5.7539999999999996"/>
  </r>
  <r>
    <x v="258"/>
    <n v="2022"/>
    <n v="1.0900000000000001"/>
    <n v="0.77"/>
    <n v="0.59"/>
    <n v="0.85099999999999998"/>
    <n v="0.71499999999999997"/>
    <n v="0.9"/>
    <n v="0.86"/>
    <n v="0"/>
    <n v="0.7"/>
    <n v="0.65942857142857136"/>
    <n v="0.61265410805868759"/>
    <n v="6.0075552906005379E-2"/>
    <x v="0"/>
    <n v="0.56499999999999773"/>
    <n v="0.31"/>
    <n v="5.4859999999999998"/>
  </r>
  <r>
    <x v="259"/>
    <n v="2022"/>
    <n v="1.1299999999999999"/>
    <n v="0.82"/>
    <n v="0.63"/>
    <n v="0.90300000000000002"/>
    <n v="0.6825"/>
    <n v="0.94"/>
    <n v="0.91"/>
    <n v="0"/>
    <n v="0.74"/>
    <n v="0.6865"/>
    <n v="0.6442653130592928"/>
    <n v="6.0455171219621594E-2"/>
    <x v="0"/>
    <n v="0.56999999999999762"/>
    <n v="0.315"/>
    <n v="5.0129999999999999"/>
  </r>
  <r>
    <x v="260"/>
    <n v="2022"/>
    <n v="1.06"/>
    <n v="0.75"/>
    <n v="0.56000000000000005"/>
    <n v="0.83150000000000002"/>
    <n v="0.57250000000000001"/>
    <n v="0.88"/>
    <n v="0.84"/>
    <n v="0"/>
    <n v="0.68"/>
    <n v="0.62342857142857144"/>
    <n v="0.58105153962276213"/>
    <n v="6.0671358538212317E-2"/>
    <x v="0"/>
    <n v="0.57499999999999751"/>
    <n v="0.32"/>
    <n v="4.9930000000000003"/>
  </r>
  <r>
    <x v="261"/>
    <n v="2022"/>
    <n v="0.95"/>
    <n v="0.63"/>
    <n v="0.45"/>
    <n v="0.70799999999999996"/>
    <n v="0.58499999999999996"/>
    <n v="0.76"/>
    <n v="0.72"/>
    <n v="0"/>
    <n v="0.59"/>
    <n v="0.54471428571428571"/>
    <n v="0.4938815340426812"/>
    <n v="6.1462666590778349E-2"/>
    <x v="0"/>
    <n v="0.57999999999999741"/>
    <n v="0.32500000000000001"/>
    <n v="5.2110000000000003"/>
  </r>
  <r>
    <x v="262"/>
    <n v="2022"/>
    <n v="0.94"/>
    <n v="0.63"/>
    <n v="0.44"/>
    <n v="0.70150000000000001"/>
    <n v="0.61250000000000004"/>
    <n v="0.75"/>
    <n v="0.72"/>
    <n v="0"/>
    <n v="0.57999999999999996"/>
    <n v="0.54342857142857148"/>
    <n v="0.4882384632015353"/>
    <n v="6.3356565170077858E-2"/>
    <x v="0"/>
    <n v="0.5849999999999973"/>
    <n v="0.32500000000000001"/>
    <n v="5.2549999999999999"/>
  </r>
  <r>
    <x v="263"/>
    <n v="2022"/>
    <n v="1"/>
    <n v="0.68"/>
    <n v="0.5"/>
    <n v="0.76"/>
    <n v="0.63749999999999996"/>
    <n v="0.81"/>
    <n v="0.77"/>
    <n v="0"/>
    <n v="0.63"/>
    <n v="0.58678571428571424"/>
    <n v="0.53698061473765624"/>
    <n v="7.1271208043109033E-2"/>
    <x v="0"/>
    <n v="0.58999999999999719"/>
    <n v="0.33"/>
    <n v="4.7140000000000004"/>
  </r>
  <r>
    <x v="264"/>
    <n v="2023"/>
    <n v="1.01"/>
    <n v="0.69"/>
    <n v="0.51"/>
    <n v="0.77300000000000002"/>
    <n v="0.54749999999999999"/>
    <n v="0.82"/>
    <n v="0.78"/>
    <n v="0"/>
    <n v="0.64"/>
    <n v="0.58149999999999991"/>
    <n v="0.53614631692829873"/>
    <n v="0.10327112416161494"/>
    <x v="0"/>
    <n v="0.58999999999999719"/>
    <n v="0.33"/>
    <n v="4.5759999999999996"/>
  </r>
  <r>
    <x v="265"/>
    <n v="2023"/>
    <n v="0.87"/>
    <n v="0.56000000000000005"/>
    <n v="0.37"/>
    <n v="0.63"/>
    <n v="0.48649999999999999"/>
    <n v="0.68"/>
    <n v="0.65"/>
    <n v="0"/>
    <n v="0.53"/>
    <n v="0.47807142857142854"/>
    <n v="0.42423664955451845"/>
    <n v="0.10160849915743003"/>
    <x v="0"/>
    <n v="0.56999999999999762"/>
    <n v="0.33"/>
    <n v="4.4130000000000003"/>
  </r>
  <r>
    <x v="266"/>
    <n v="2023"/>
    <n v="0.84"/>
    <n v="0.52"/>
    <n v="0.34"/>
    <n v="0.59750000000000003"/>
    <n v="0.47250000000000003"/>
    <n v="0.65"/>
    <n v="0.61"/>
    <n v="0"/>
    <n v="0.5"/>
    <n v="0.45285714285714285"/>
    <n v="0.39813752439541794"/>
    <n v="0.11049048697498626"/>
    <x v="0"/>
    <n v="0.5849999999999973"/>
    <n v="0.315"/>
    <n v="4.2110000000000003"/>
  </r>
  <r>
    <x v="267"/>
    <n v="2023"/>
    <n v="0.8"/>
    <n v="0.48"/>
    <n v="0.3"/>
    <n v="0.55200000000000005"/>
    <n v="0.41749999999999998"/>
    <n v="0.61"/>
    <n v="0.56999999999999995"/>
    <n v="0"/>
    <n v="0.47"/>
    <n v="0.41707142857142859"/>
    <n v="0.36341828638099277"/>
    <n v="0.13746158254438659"/>
    <x v="1"/>
    <n v="0.55499999999999794"/>
    <n v="0.31"/>
    <n v="4.0990000000000002"/>
  </r>
  <r>
    <x v="268"/>
    <n v="2023"/>
    <n v="0.75"/>
    <n v="0.43"/>
    <n v="0.25"/>
    <n v="0.5"/>
    <n v="0.38750000000000001"/>
    <n v="0.56000000000000005"/>
    <n v="0.52"/>
    <n v="0"/>
    <n v="0.43"/>
    <n v="0.37821428571428578"/>
    <n v="0.32250614552397117"/>
    <n v="0.21189641518776672"/>
    <x v="1"/>
    <n v="0.56999999999999762"/>
    <n v="0.315"/>
    <n v="3.915"/>
  </r>
  <r>
    <x v="269"/>
    <n v="2023"/>
    <n v="0.72"/>
    <n v="0.4"/>
    <n v="0.22"/>
    <n v="0.46750000000000003"/>
    <n v="0.35249999999999998"/>
    <n v="0.53"/>
    <n v="0.49"/>
    <n v="0"/>
    <n v="0.4"/>
    <n v="0.35142857142857142"/>
    <n v="0.29526619643614765"/>
    <n v="0.2081942378584081"/>
    <x v="1"/>
    <n v="0.56999999999999762"/>
    <n v="0.32"/>
    <n v="3.802"/>
  </r>
  <r>
    <x v="270"/>
    <n v="2023"/>
    <n v="0.67"/>
    <n v="0.36"/>
    <n v="0.17"/>
    <n v="0.42199999999999999"/>
    <n v="0.32750000000000001"/>
    <n v="0.48"/>
    <n v="0.45"/>
    <n v="0"/>
    <n v="0.37"/>
    <n v="0.31707142857142856"/>
    <n v="0.25777217691981336"/>
    <n v="0.23946521911135213"/>
    <x v="1"/>
    <n v="0.57999999999999741"/>
    <n v="0.32500000000000001"/>
    <n v="3.8820000000000001"/>
  </r>
  <r>
    <x v="271"/>
    <n v="2023"/>
    <n v="0.64"/>
    <n v="0.33"/>
    <n v="0.14000000000000001"/>
    <n v="0.39600000000000002"/>
    <n v="0.33"/>
    <n v="0.46"/>
    <n v="0.42"/>
    <n v="0"/>
    <n v="0.35"/>
    <n v="0.29942857142857143"/>
    <n v="0.23669496308867205"/>
    <n v="0.2523403679820132"/>
    <x v="1"/>
    <n v="0.57999999999999741"/>
    <n v="0.33"/>
    <n v="4.37"/>
  </r>
  <r>
    <x v="272"/>
    <n v="2023"/>
    <n v="0.66"/>
    <n v="0.35"/>
    <n v="0.16"/>
    <n v="0.41549999999999998"/>
    <n v="0.42500000000000004"/>
    <n v="0.48"/>
    <n v="0.44"/>
    <n v="0"/>
    <n v="0.36"/>
    <n v="0.32578571428571429"/>
    <n v="0.25758743487484093"/>
    <n v="0.23264554995759268"/>
    <x v="1"/>
    <n v="0.5849999999999973"/>
    <n v="0.33500000000000002"/>
    <n v="4.5629999999999997"/>
  </r>
  <r>
    <x v="273"/>
    <n v="2023"/>
    <n v="0.79"/>
    <n v="0.47"/>
    <n v="0.28999999999999998"/>
    <n v="0.53900000000000003"/>
    <n v="0.48"/>
    <n v="0.6"/>
    <n v="0.56000000000000005"/>
    <n v="0"/>
    <n v="0.46"/>
    <n v="0.41842857142857143"/>
    <n v="0.35957352227407724"/>
    <n v="0.20463267584337042"/>
    <x v="1"/>
    <n v="0.59499999999999709"/>
    <n v="0.33500000000000002"/>
    <n v="4.5069999999999997"/>
  </r>
  <r>
    <x v="274"/>
    <n v="2023"/>
    <n v="0.83"/>
    <n v="0.52"/>
    <n v="0.33"/>
    <n v="0.59099999999999997"/>
    <n v="0.47499999999999998"/>
    <n v="0.65"/>
    <n v="0.61"/>
    <n v="0"/>
    <n v="0.5"/>
    <n v="0.45085714285714279"/>
    <n v="0.39379115740347903"/>
    <n v="0.20441033763721014"/>
    <x v="1"/>
    <n v="0.58999999999999719"/>
    <n v="0.33500000000000002"/>
    <n v="4.2539999999999996"/>
  </r>
  <r>
    <x v="275"/>
    <n v="2023"/>
    <n v="0.82"/>
    <n v="0.51"/>
    <n v="0.32"/>
    <n v="0.57799999999999996"/>
    <n v="0.4375"/>
    <n v="0.63"/>
    <n v="0.6"/>
    <n v="0"/>
    <n v="0.49"/>
    <n v="0.43650000000000005"/>
    <n v="0.38195265549427238"/>
    <n v="0.22752971847232162"/>
    <x v="1"/>
    <n v="0.57999999999999741"/>
    <n v="0.33"/>
    <n v="3.972"/>
  </r>
  <r>
    <x v="276"/>
    <n v="2024"/>
    <n v="0.76"/>
    <n v="0.44"/>
    <n v="0.26"/>
    <n v="0.51300000000000001"/>
    <n v="0.36499999999999999"/>
    <n v="0.56999999999999995"/>
    <n v="0.53"/>
    <n v="0"/>
    <n v="0.44"/>
    <n v="0.38257142857142851"/>
    <n v="0.32100714682466214"/>
    <n v="0.25869477980257705"/>
    <x v="1"/>
    <n v="0.57499999999999751"/>
    <n v="0.33"/>
    <n v="3.8540000000000001"/>
  </r>
  <r>
    <x v="277"/>
    <n v="2024"/>
    <n v="0.69"/>
    <n v="0.37"/>
    <n v="0.19"/>
    <n v="0.435"/>
    <n v="0.33500000000000002"/>
    <n v="0.5"/>
    <n v="0.46"/>
    <n v="0"/>
    <n v="0.38"/>
    <n v="0.32857142857142857"/>
    <n v="0.26382401210177786"/>
    <n v="0.21975390046559204"/>
    <x v="1"/>
    <n v="0.57999999999999741"/>
    <n v="0.33500000000000002"/>
    <n v="4.0439999999999996"/>
  </r>
  <r>
    <x v="278"/>
    <n v="2024"/>
    <n v="0.66"/>
    <n v="0.34"/>
    <n v="0.16"/>
    <n v="0.40899999999999997"/>
    <n v="0.36749999999999999"/>
    <n v="0.47"/>
    <n v="0.43"/>
    <n v="0"/>
    <n v="0.36"/>
    <n v="0.31378571428571428"/>
    <n v="0.24440722403652593"/>
    <n v="0.22141176892904943"/>
    <x v="1"/>
    <n v="0.60499999999999687"/>
    <n v="0.34499999999999997"/>
    <n v="4.0220000000000002"/>
  </r>
  <r>
    <x v="279"/>
    <n v="2024"/>
    <n v="0.7"/>
    <n v="0.39"/>
    <n v="0.2"/>
    <n v="0.45450000000000002"/>
    <n v="0.375"/>
    <n v="0.52"/>
    <n v="0.48"/>
    <n v="0"/>
    <n v="0.39"/>
    <n v="0.3456428571428572"/>
    <n v="0.2764855475936292"/>
    <n v="0.23973395412375711"/>
    <x v="1"/>
    <n v="0.60499999999999687"/>
    <n v="0.34499999999999997"/>
    <n v="4.0019999999999998"/>
  </r>
  <r>
    <x v="280"/>
    <n v="2024"/>
    <n v="0.7"/>
    <n v="0.39"/>
    <n v="0.2"/>
    <n v="0.44800000000000001"/>
    <n v="0.3725"/>
    <n v="0.51"/>
    <n v="0.48"/>
    <n v="0"/>
    <n v="0.39"/>
    <n v="0.34292857142857142"/>
    <n v="0.27530094190595122"/>
    <n v="0.30559218094563367"/>
    <x v="1"/>
    <n v="0.59999999999999698"/>
    <n v="0.34499999999999997"/>
    <n v="3.8220000000000001"/>
  </r>
  <r>
    <x v="281"/>
    <n v="2024"/>
    <n v="0.69"/>
    <n v="0.38"/>
    <n v="0.19"/>
    <n v="0.44800000000000001"/>
    <n v="0.33999999999999997"/>
    <n v="0.51"/>
    <n v="0.47"/>
    <n v="0"/>
    <n v="0.39"/>
    <n v="0.33542857142857141"/>
    <n v="0.26805546333027375"/>
    <n v="0.29848314700932138"/>
    <x v="1"/>
    <n v="0.60499999999999687"/>
    <n v="0.34499999999999997"/>
    <n v="3.722"/>
  </r>
  <r>
    <x v="282"/>
    <n v="2024"/>
    <n v="0.65"/>
    <n v="0.34"/>
    <n v="0.15"/>
    <n v="0.39600000000000002"/>
    <n v="0.3125"/>
    <n v="0.46"/>
    <n v="0.43"/>
    <n v="0"/>
    <n v="0.35"/>
    <n v="0.29978571428571427"/>
    <n v="0.23228903000626361"/>
    <n v="0.31919741733637558"/>
    <x v="1"/>
    <n v="0.5849999999999973"/>
    <n v="0.34"/>
    <n v="3.81"/>
  </r>
  <r>
    <x v="283"/>
    <n v="2024"/>
    <n v="0.62"/>
    <n v="0.31"/>
    <n v="0.12"/>
    <n v="0.37"/>
    <n v="0.33"/>
    <n v="0.44"/>
    <n v="0.4"/>
    <n v="0"/>
    <n v="0.33"/>
    <n v="0.28428571428571431"/>
    <n v="0.21241092469085709"/>
    <n v="0.32412495557761029"/>
    <x v="1"/>
    <n v="0.60999999999999677"/>
    <n v="0.35499999999999998"/>
    <n v="3.7"/>
  </r>
  <r>
    <x v="284"/>
    <n v="2024"/>
    <n v="0.65"/>
    <n v="0.33"/>
    <n v="0.15"/>
    <n v="0.39600000000000002"/>
    <n v="0.31"/>
    <n v="0.46"/>
    <n v="0.42"/>
    <n v="0"/>
    <n v="0.35"/>
    <n v="0.29799999999999999"/>
    <n v="0.23174420182235758"/>
    <n v="0.31121818897224679"/>
    <x v="1"/>
    <n v="0.61499999999999666"/>
    <n v="0.35499999999999998"/>
    <n v="3.5579999999999998"/>
  </r>
  <r>
    <x v="285"/>
    <n v="2024"/>
    <n v="0.62"/>
    <n v="0.31"/>
    <n v="0.12"/>
    <n v="0.37"/>
    <n v="0.27500000000000002"/>
    <n v="0.43"/>
    <n v="0.4"/>
    <n v="0"/>
    <n v="0.33"/>
    <n v="0.27500000000000002"/>
    <n v="0.2074871556488751"/>
    <n v="0.31725841859760978"/>
    <x v="1"/>
    <n v="0.60999999999999677"/>
    <n v="0.35"/>
    <n v="3.585"/>
  </r>
  <r>
    <x v="286"/>
    <n v="2024"/>
    <n v="0.57999999999999996"/>
    <n v="0.27"/>
    <n v="0.08"/>
    <n v="0.33100000000000002"/>
    <n v="0.27750000000000002"/>
    <n v="0.39"/>
    <n v="0.36"/>
    <n v="0"/>
    <n v="0.3"/>
    <n v="0.24835714285714286"/>
    <n v="0.17752291498422279"/>
    <n v="0.32879128843043548"/>
    <x v="1"/>
    <n v="0.59999999999999698"/>
    <n v="0.34499999999999997"/>
    <n v="3.5219999999999998"/>
  </r>
  <r>
    <x v="287"/>
    <n v="2024"/>
    <n v="0.59"/>
    <n v="0.28000000000000003"/>
    <n v="0.09"/>
    <n v="0.33750000000000002"/>
    <n v="0.27"/>
    <n v="0.4"/>
    <n v="0.37"/>
    <n v="0"/>
    <n v="0.3"/>
    <n v="0.25250000000000006"/>
    <n v="0.18268348257020961"/>
    <n v="0.34863171317032188"/>
    <x v="1"/>
    <n v="0.61999999999999655"/>
    <n v="0.35499999999999998"/>
    <n v="3.4940000000000002"/>
  </r>
  <r>
    <x v="288"/>
    <n v="2025"/>
    <n v="0.56999999999999995"/>
    <n v="0.26"/>
    <n v="7.0000000000000007E-2"/>
    <n v="0.318"/>
    <n v="0.26250000000000001"/>
    <n v="0.39"/>
    <n v="0.35"/>
    <n v="0"/>
    <n v="0.28999999999999998"/>
    <n v="0.24007142857142863"/>
    <n v="0.16879907848143827"/>
    <n v="0.35729918791661319"/>
    <x v="1"/>
    <n v="0.62999999999999634"/>
    <n v="0.36"/>
    <n v="3.6339999999999999"/>
  </r>
  <r>
    <x v="289"/>
    <n v="2025"/>
    <n v="0.56999999999999995"/>
    <n v="0.25"/>
    <n v="7.0000000000000007E-2"/>
    <n v="0.3115"/>
    <n v="0.28249999999999997"/>
    <n v="0.38"/>
    <n v="0.34"/>
    <n v="0"/>
    <n v="0.28000000000000003"/>
    <n v="0.23771428571428574"/>
    <n v="0.16663494415198227"/>
    <n v="0.29547537309334482"/>
    <x v="1"/>
    <n v="0.62499999999999645"/>
    <n v="0.39"/>
    <n v="3.6749999999999998"/>
  </r>
  <r>
    <x v="290"/>
    <n v="2025"/>
    <n v="0.6"/>
    <n v="0.28999999999999998"/>
    <n v="0.1"/>
    <n v="0.35049999999999998"/>
    <n v="0.29749999999999999"/>
    <n v="0.41"/>
    <n v="0.38"/>
    <n v="0"/>
    <n v="0.31"/>
    <n v="0.26399999999999996"/>
    <n v="0.19259745295211678"/>
    <n v="0.28780714846313044"/>
    <x v="1"/>
    <n v="0.64999999999999591"/>
    <n v="0.37"/>
    <m/>
  </r>
  <r>
    <x v="291"/>
    <n v="2025"/>
    <n v="0.61"/>
    <n v="0.3"/>
    <n v="0.11"/>
    <n v="0.36349999999999999"/>
    <n v="0.28000000000000003"/>
    <n v="0.42"/>
    <n v="0.39"/>
    <n v="0"/>
    <n v="0.32"/>
    <n v="0.26907142857142857"/>
    <n v="0.19955407222940244"/>
    <n v="0.31182556555425311"/>
    <x v="1"/>
    <n v="0.64499999999999602"/>
    <n v="0.3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854ED92-7A57-4A02-BC05-2B3DFD384B2B}" name="PivotTable3" cacheId="7"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fieldListSortAscending="1">
  <location ref="A18:I28" firstHeaderRow="1" firstDataRow="2" firstDataCol="1"/>
  <pivotFields count="3">
    <pivotField axis="axisRow" showAll="0">
      <items count="10">
        <item x="2"/>
        <item x="5"/>
        <item x="7"/>
        <item x="4"/>
        <item x="3"/>
        <item x="0"/>
        <item x="8"/>
        <item x="6"/>
        <item x="1"/>
        <item t="default"/>
      </items>
    </pivotField>
    <pivotField axis="axisCol" showAll="0">
      <items count="8">
        <item x="1"/>
        <item x="5"/>
        <item x="4"/>
        <item x="0"/>
        <item x="2"/>
        <item x="6"/>
        <item x="3"/>
        <item t="default"/>
      </items>
    </pivotField>
    <pivotField dataField="1" showAll="0"/>
  </pivotFields>
  <rowFields count="1">
    <field x="0"/>
  </rowFields>
  <rowItems count="9">
    <i>
      <x/>
    </i>
    <i>
      <x v="1"/>
    </i>
    <i>
      <x v="2"/>
    </i>
    <i>
      <x v="3"/>
    </i>
    <i>
      <x v="4"/>
    </i>
    <i>
      <x v="5"/>
    </i>
    <i>
      <x v="6"/>
    </i>
    <i>
      <x v="7"/>
    </i>
    <i>
      <x v="8"/>
    </i>
  </rowItems>
  <colFields count="1">
    <field x="1"/>
  </colFields>
  <colItems count="8">
    <i>
      <x/>
    </i>
    <i>
      <x v="1"/>
    </i>
    <i>
      <x v="2"/>
    </i>
    <i>
      <x v="3"/>
    </i>
    <i>
      <x v="4"/>
    </i>
    <i>
      <x v="5"/>
    </i>
    <i>
      <x v="6"/>
    </i>
    <i t="grand">
      <x/>
    </i>
  </colItems>
  <dataFields count="1">
    <dataField name="Sum of sum_carloads" fld="2" showDataAs="percentOfRow" baseField="0" baseItem="0" numFmtId="10"/>
  </dataFields>
  <formats count="20">
    <format dxfId="54">
      <pivotArea outline="0" collapsedLevelsAreSubtotals="1" fieldPosition="0"/>
    </format>
    <format dxfId="53">
      <pivotArea dataOnly="0" labelOnly="1" fieldPosition="0">
        <references count="1">
          <reference field="0" count="0"/>
        </references>
      </pivotArea>
    </format>
    <format dxfId="52">
      <pivotArea type="all" dataOnly="0" outline="0" fieldPosition="0"/>
    </format>
    <format dxfId="51">
      <pivotArea outline="0" collapsedLevelsAreSubtotals="1" fieldPosition="0"/>
    </format>
    <format dxfId="50">
      <pivotArea type="origin" dataOnly="0" labelOnly="1" outline="0" fieldPosition="0"/>
    </format>
    <format dxfId="49">
      <pivotArea field="1" type="button" dataOnly="0" labelOnly="1" outline="0" axis="axisCol" fieldPosition="0"/>
    </format>
    <format dxfId="48">
      <pivotArea type="topRight" dataOnly="0" labelOnly="1" outline="0" fieldPosition="0"/>
    </format>
    <format dxfId="47">
      <pivotArea field="0" type="button" dataOnly="0" labelOnly="1" outline="0" axis="axisRow" fieldPosition="0"/>
    </format>
    <format dxfId="46">
      <pivotArea dataOnly="0" labelOnly="1" fieldPosition="0">
        <references count="1">
          <reference field="0" count="0"/>
        </references>
      </pivotArea>
    </format>
    <format dxfId="45">
      <pivotArea dataOnly="0" labelOnly="1" fieldPosition="0">
        <references count="1">
          <reference field="1" count="0"/>
        </references>
      </pivotArea>
    </format>
    <format dxfId="44">
      <pivotArea dataOnly="0" labelOnly="1" grandCol="1" outline="0" fieldPosition="0"/>
    </format>
    <format dxfId="43">
      <pivotArea type="all" dataOnly="0" outline="0" fieldPosition="0"/>
    </format>
    <format dxfId="42">
      <pivotArea outline="0" collapsedLevelsAreSubtotals="1" fieldPosition="0"/>
    </format>
    <format dxfId="41">
      <pivotArea type="origin" dataOnly="0" labelOnly="1" outline="0" fieldPosition="0"/>
    </format>
    <format dxfId="40">
      <pivotArea field="1" type="button" dataOnly="0" labelOnly="1" outline="0" axis="axisCol" fieldPosition="0"/>
    </format>
    <format dxfId="39">
      <pivotArea type="topRight" dataOnly="0" labelOnly="1" outline="0" fieldPosition="0"/>
    </format>
    <format dxfId="38">
      <pivotArea field="0" type="button" dataOnly="0" labelOnly="1" outline="0" axis="axisRow" fieldPosition="0"/>
    </format>
    <format dxfId="37">
      <pivotArea dataOnly="0" labelOnly="1" fieldPosition="0">
        <references count="1">
          <reference field="0" count="0"/>
        </references>
      </pivotArea>
    </format>
    <format dxfId="36">
      <pivotArea dataOnly="0" labelOnly="1" fieldPosition="0">
        <references count="1">
          <reference field="1" count="0"/>
        </references>
      </pivotArea>
    </format>
    <format dxfId="3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BCED1FE-97F4-4FE8-8C86-215849659A30}" name="PivotTable4" cacheId="8" applyNumberFormats="0" applyBorderFormats="0" applyFontFormats="0" applyPatternFormats="0" applyAlignmentFormats="0" applyWidthHeightFormats="1" dataCaption="Values" updatedVersion="8" minRefreshableVersion="3" useAutoFormatting="1" itemPrintTitles="1" createdVersion="5" indent="0" outline="1" outlineData="1" multipleFieldFilters="0" chartFormat="33">
  <location ref="S3:U29" firstHeaderRow="0" firstDataRow="1" firstDataCol="1" rowPageCount="1" colPageCount="1"/>
  <pivotFields count="18">
    <pivotField axis="axisRow" numFmtId="165" showAll="0" defaultSubtotal="0">
      <items count="484">
        <item m="1" x="293"/>
        <item m="1" x="309"/>
        <item m="1" x="325"/>
        <item m="1" x="341"/>
        <item m="1" x="357"/>
        <item m="1" x="373"/>
        <item m="1" x="389"/>
        <item m="1" x="405"/>
        <item m="1" x="421"/>
        <item m="1" x="437"/>
        <item m="1" x="453"/>
        <item m="1" x="469"/>
        <item m="1" x="294"/>
        <item m="1" x="310"/>
        <item m="1" x="326"/>
        <item m="1" x="342"/>
        <item m="1" x="358"/>
        <item m="1" x="374"/>
        <item m="1" x="390"/>
        <item m="1" x="406"/>
        <item m="1" x="422"/>
        <item m="1" x="438"/>
        <item m="1" x="454"/>
        <item m="1" x="470"/>
        <item m="1" x="295"/>
        <item m="1" x="311"/>
        <item m="1" x="327"/>
        <item m="1" x="343"/>
        <item m="1" x="359"/>
        <item m="1" x="375"/>
        <item m="1" x="391"/>
        <item m="1" x="407"/>
        <item m="1" x="423"/>
        <item m="1" x="439"/>
        <item m="1" x="455"/>
        <item m="1" x="471"/>
        <item m="1" x="296"/>
        <item m="1" x="312"/>
        <item m="1" x="328"/>
        <item m="1" x="344"/>
        <item m="1" x="360"/>
        <item m="1" x="376"/>
        <item m="1" x="392"/>
        <item m="1" x="408"/>
        <item m="1" x="424"/>
        <item m="1" x="440"/>
        <item m="1" x="456"/>
        <item m="1" x="472"/>
        <item m="1" x="297"/>
        <item m="1" x="313"/>
        <item m="1" x="329"/>
        <item m="1" x="345"/>
        <item m="1" x="361"/>
        <item m="1" x="377"/>
        <item m="1" x="393"/>
        <item m="1" x="409"/>
        <item m="1" x="425"/>
        <item m="1" x="441"/>
        <item m="1" x="457"/>
        <item m="1" x="473"/>
        <item m="1" x="298"/>
        <item m="1" x="314"/>
        <item m="1" x="330"/>
        <item m="1" x="346"/>
        <item m="1" x="362"/>
        <item m="1" x="378"/>
        <item m="1" x="394"/>
        <item m="1" x="410"/>
        <item m="1" x="426"/>
        <item m="1" x="442"/>
        <item m="1" x="458"/>
        <item m="1" x="474"/>
        <item m="1" x="299"/>
        <item m="1" x="315"/>
        <item m="1" x="331"/>
        <item m="1" x="347"/>
        <item m="1" x="363"/>
        <item m="1" x="379"/>
        <item m="1" x="395"/>
        <item m="1" x="411"/>
        <item m="1" x="427"/>
        <item m="1" x="443"/>
        <item m="1" x="459"/>
        <item m="1" x="475"/>
        <item m="1" x="300"/>
        <item m="1" x="316"/>
        <item m="1" x="332"/>
        <item m="1" x="348"/>
        <item m="1" x="364"/>
        <item m="1" x="380"/>
        <item m="1" x="396"/>
        <item m="1" x="412"/>
        <item m="1" x="428"/>
        <item m="1" x="444"/>
        <item m="1" x="460"/>
        <item m="1" x="476"/>
        <item m="1" x="301"/>
        <item m="1" x="317"/>
        <item m="1" x="333"/>
        <item m="1" x="349"/>
        <item m="1" x="365"/>
        <item m="1" x="381"/>
        <item m="1" x="397"/>
        <item m="1" x="413"/>
        <item m="1" x="429"/>
        <item m="1" x="445"/>
        <item m="1" x="461"/>
        <item m="1" x="477"/>
        <item m="1" x="302"/>
        <item m="1" x="318"/>
        <item m="1" x="334"/>
        <item m="1" x="350"/>
        <item m="1" x="366"/>
        <item m="1" x="382"/>
        <item m="1" x="398"/>
        <item m="1" x="414"/>
        <item m="1" x="430"/>
        <item m="1" x="446"/>
        <item m="1" x="462"/>
        <item m="1" x="478"/>
        <item m="1" x="303"/>
        <item m="1" x="319"/>
        <item m="1" x="335"/>
        <item m="1" x="351"/>
        <item m="1" x="367"/>
        <item m="1" x="383"/>
        <item m="1" x="399"/>
        <item m="1" x="415"/>
        <item m="1" x="431"/>
        <item m="1" x="447"/>
        <item m="1" x="463"/>
        <item m="1" x="479"/>
        <item m="1" x="304"/>
        <item m="1" x="320"/>
        <item m="1" x="336"/>
        <item m="1" x="352"/>
        <item m="1" x="368"/>
        <item m="1" x="384"/>
        <item m="1" x="400"/>
        <item m="1" x="416"/>
        <item m="1" x="432"/>
        <item m="1" x="448"/>
        <item m="1" x="464"/>
        <item m="1" x="480"/>
        <item m="1" x="305"/>
        <item m="1" x="321"/>
        <item m="1" x="337"/>
        <item m="1" x="353"/>
        <item m="1" x="369"/>
        <item m="1" x="385"/>
        <item m="1" x="401"/>
        <item m="1" x="417"/>
        <item m="1" x="433"/>
        <item m="1" x="449"/>
        <item m="1" x="465"/>
        <item m="1" x="481"/>
        <item m="1" x="306"/>
        <item m="1" x="322"/>
        <item m="1" x="338"/>
        <item m="1" x="354"/>
        <item m="1" x="370"/>
        <item m="1" x="386"/>
        <item m="1" x="402"/>
        <item m="1" x="418"/>
        <item m="1" x="434"/>
        <item m="1" x="450"/>
        <item m="1" x="466"/>
        <item m="1" x="482"/>
        <item m="1" x="307"/>
        <item m="1" x="323"/>
        <item m="1" x="339"/>
        <item m="1" x="355"/>
        <item m="1" x="371"/>
        <item m="1" x="387"/>
        <item m="1" x="403"/>
        <item m="1" x="419"/>
        <item m="1" x="435"/>
        <item m="1" x="451"/>
        <item m="1" x="467"/>
        <item m="1" x="483"/>
        <item m="1" x="308"/>
        <item m="1" x="324"/>
        <item m="1" x="340"/>
        <item m="1" x="356"/>
        <item m="1" x="372"/>
        <item m="1" x="388"/>
        <item m="1" x="404"/>
        <item m="1" x="420"/>
        <item m="1" x="436"/>
        <item m="1" x="452"/>
        <item m="1" x="4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m="1" x="292"/>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s>
    </pivotField>
    <pivotField showAll="0" defaultSubtotal="0"/>
    <pivotField showAll="0"/>
    <pivotField showAll="0"/>
    <pivotField showAll="0"/>
    <pivotField showAll="0"/>
    <pivotField showAll="0"/>
    <pivotField showAll="0"/>
    <pivotField showAll="0"/>
    <pivotField showAll="0"/>
    <pivotField showAll="0"/>
    <pivotField numFmtId="167" showAll="0" defaultSubtotal="0"/>
    <pivotField dataField="1" showAll="0" defaultSubtotal="0"/>
    <pivotField dataField="1" showAll="0" defaultSubtotal="0"/>
    <pivotField axis="axisPage" showAll="0" defaultSubtotal="0">
      <items count="2">
        <item x="0"/>
        <item x="1"/>
      </items>
    </pivotField>
    <pivotField showAll="0" defaultSubtotal="0"/>
    <pivotField showAll="0" defaultSubtotal="0"/>
    <pivotField showAll="0"/>
  </pivotFields>
  <rowFields count="1">
    <field x="0"/>
  </rowFields>
  <rowItems count="26">
    <i>
      <x v="459"/>
    </i>
    <i>
      <x v="460"/>
    </i>
    <i>
      <x v="461"/>
    </i>
    <i>
      <x v="462"/>
    </i>
    <i>
      <x v="463"/>
    </i>
    <i>
      <x v="464"/>
    </i>
    <i>
      <x v="465"/>
    </i>
    <i>
      <x v="466"/>
    </i>
    <i>
      <x v="467"/>
    </i>
    <i>
      <x v="468"/>
    </i>
    <i>
      <x v="469"/>
    </i>
    <i>
      <x v="470"/>
    </i>
    <i>
      <x v="471"/>
    </i>
    <i>
      <x v="472"/>
    </i>
    <i>
      <x v="473"/>
    </i>
    <i>
      <x v="474"/>
    </i>
    <i>
      <x v="475"/>
    </i>
    <i>
      <x v="476"/>
    </i>
    <i>
      <x v="477"/>
    </i>
    <i>
      <x v="478"/>
    </i>
    <i>
      <x v="479"/>
    </i>
    <i>
      <x v="480"/>
    </i>
    <i>
      <x v="481"/>
    </i>
    <i>
      <x v="482"/>
    </i>
    <i>
      <x v="483"/>
    </i>
    <i t="grand">
      <x/>
    </i>
  </rowItems>
  <colFields count="1">
    <field x="-2"/>
  </colFields>
  <colItems count="2">
    <i>
      <x/>
    </i>
    <i i="1">
      <x v="1"/>
    </i>
  </colItems>
  <pageFields count="1">
    <pageField fld="14" item="1" hier="-1"/>
  </pageFields>
  <dataFields count="2">
    <dataField name="Fuel surcharge ($/mile/railcar) " fld="12" baseField="0" baseItem="0"/>
    <dataField name="3-year monthly average " fld="13" baseField="0" baseItem="0"/>
  </dataField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29" format="8" series="1">
      <pivotArea type="data" outline="0" fieldPosition="0">
        <references count="1">
          <reference field="4294967294" count="1" selected="0">
            <x v="1"/>
          </reference>
        </references>
      </pivotArea>
    </chartFormat>
    <chartFormat chart="29"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ata" displayName="data" ref="A1:R293" headerRowDxfId="34" headerRowBorderDxfId="33">
  <autoFilter ref="A1:R293" xr:uid="{00000000-0009-0000-0100-000002000000}"/>
  <tableColumns count="18">
    <tableColumn id="1" xr3:uid="{00000000-0010-0000-0000-000001000000}" name="Date" totalsRowLabel="Total" dataDxfId="32"/>
    <tableColumn id="12" xr3:uid="{00000000-0010-0000-0000-00000C000000}" name="Year" dataDxfId="31">
      <calculatedColumnFormula>YEAR(data[[#This Row],[Date]])</calculatedColumnFormula>
    </tableColumn>
    <tableColumn id="18" xr3:uid="{A5945299-3F30-4266-865B-BE9852160CE5}" name="BNSF - 1.25 sp" dataDxfId="30"/>
    <tableColumn id="2" xr3:uid="{00000000-0010-0000-0000-000002000000}" name="BNSF - 2.50 sp" dataDxfId="29" totalsRowDxfId="28"/>
    <tableColumn id="17" xr3:uid="{FF293A55-E739-4B3E-AD83-2E46A82CEE3C}" name="BNSF - 3.25 sp" dataDxfId="27" totalsRowDxfId="26"/>
    <tableColumn id="3" xr3:uid="{00000000-0010-0000-0000-000003000000}" name="CN" dataDxfId="25" totalsRowDxfId="24"/>
    <tableColumn id="4" xr3:uid="{00000000-0010-0000-0000-000004000000}" name="CP" dataDxfId="23" totalsRowDxfId="22" dataCellStyle="Normal"/>
    <tableColumn id="5" xr3:uid="{00000000-0010-0000-0000-000005000000}" name="CSXT" dataDxfId="21" totalsRowDxfId="20"/>
    <tableColumn id="6" xr3:uid="{00000000-0010-0000-0000-000006000000}" name="KCS" dataDxfId="19" totalsRowDxfId="18"/>
    <tableColumn id="7" xr3:uid="{00000000-0010-0000-0000-000007000000}" name="NS" dataDxfId="17" totalsRowDxfId="16"/>
    <tableColumn id="8" xr3:uid="{00000000-0010-0000-0000-000008000000}" name="UP" dataDxfId="15" totalsRowDxfId="14"/>
    <tableColumn id="9" xr3:uid="{00000000-0010-0000-0000-000009000000}" name="N_America" dataDxfId="13" totalsRowDxfId="12">
      <calculatedColumnFormula>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calculatedColumnFormula>
    </tableColumn>
    <tableColumn id="10" xr3:uid="{00000000-0010-0000-0000-00000A000000}" name="Weighted_Avg" dataDxfId="11" totalsRowDxfId="10" dataCellStyle="Normal">
      <calculatedColumnFormula>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calculatedColumnFormula>
    </tableColumn>
    <tableColumn id="11" xr3:uid="{00000000-0010-0000-0000-00000B000000}" name="3_Yr_Monthly_Avg" dataDxfId="9" totalsRowDxfId="8" dataCellStyle="Percent"/>
    <tableColumn id="13" xr3:uid="{00000000-0010-0000-0000-00000D000000}" name="Figure 3 Filter" dataDxfId="7" totalsRowDxfId="6" dataCellStyle="Percent">
      <calculatedColumnFormula>IF(data[[#This Row],[Date]]&gt;MAX(data[Date])-750, TRUE, FALSE)</calculatedColumnFormula>
    </tableColumn>
    <tableColumn id="14" xr3:uid="{00000000-0010-0000-0000-00000E000000}" name="KCSM" dataDxfId="5" totalsRowDxfId="4" dataCellStyle="Percent"/>
    <tableColumn id="15" xr3:uid="{00000000-0010-0000-0000-00000F000000}" name="FerroMex" dataDxfId="3" totalsRowDxfId="2" dataCellStyle="Percent"/>
    <tableColumn id="16" xr3:uid="{E274B901-13D9-4465-8388-56D47AB6D229}" name="EIA HDF Price" totalsRowFunction="sum"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1"/>
  <sheetViews>
    <sheetView workbookViewId="0">
      <selection activeCell="B8" sqref="B8"/>
    </sheetView>
  </sheetViews>
  <sheetFormatPr defaultRowHeight="12.75"/>
  <sheetData>
    <row r="1" spans="2:3">
      <c r="C1" s="16"/>
    </row>
    <row r="2" spans="2:3">
      <c r="C2" s="18"/>
    </row>
    <row r="3" spans="2:3">
      <c r="C3" s="23"/>
    </row>
    <row r="4" spans="2:3">
      <c r="B4" s="1" t="s">
        <v>0</v>
      </c>
    </row>
    <row r="5" spans="2:3">
      <c r="B5" s="15" t="s">
        <v>1</v>
      </c>
    </row>
    <row r="6" spans="2:3">
      <c r="B6" s="53" t="s">
        <v>2</v>
      </c>
    </row>
    <row r="7" spans="2:3">
      <c r="B7" t="s">
        <v>3</v>
      </c>
    </row>
    <row r="8" spans="2:3">
      <c r="B8" s="66" t="s">
        <v>47</v>
      </c>
    </row>
    <row r="9" spans="2:3">
      <c r="B9" t="s">
        <v>4</v>
      </c>
    </row>
    <row r="10" spans="2:3">
      <c r="B10" t="s">
        <v>5</v>
      </c>
    </row>
    <row r="11" spans="2:3">
      <c r="B11"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I28"/>
  <sheetViews>
    <sheetView workbookViewId="0">
      <selection activeCell="B24" sqref="B24"/>
    </sheetView>
  </sheetViews>
  <sheetFormatPr defaultColWidth="16.7109375" defaultRowHeight="12.75"/>
  <cols>
    <col min="1" max="1" width="20.7109375" bestFit="1" customWidth="1"/>
    <col min="2" max="2" width="19.28515625" bestFit="1" customWidth="1"/>
    <col min="3" max="6" width="6.28515625" bestFit="1" customWidth="1"/>
    <col min="7" max="8" width="7.28515625" bestFit="1" customWidth="1"/>
    <col min="9" max="9" width="11.7109375" bestFit="1" customWidth="1"/>
  </cols>
  <sheetData>
    <row r="1" spans="1:9">
      <c r="A1" s="1" t="s">
        <v>7</v>
      </c>
    </row>
    <row r="2" spans="1:9">
      <c r="A2" s="65" t="s">
        <v>8</v>
      </c>
      <c r="B2" s="59" t="s">
        <v>9</v>
      </c>
      <c r="C2" s="59" t="s">
        <v>10</v>
      </c>
      <c r="D2" s="59" t="s">
        <v>11</v>
      </c>
      <c r="E2" s="59" t="s">
        <v>12</v>
      </c>
      <c r="F2" s="59" t="s">
        <v>13</v>
      </c>
      <c r="G2" s="59" t="s">
        <v>14</v>
      </c>
      <c r="H2" s="59" t="s">
        <v>15</v>
      </c>
      <c r="I2" s="59" t="s">
        <v>16</v>
      </c>
    </row>
    <row r="3" spans="1:9">
      <c r="A3" s="60">
        <v>2002</v>
      </c>
      <c r="B3" s="61">
        <v>0.27289999999999998</v>
      </c>
      <c r="C3" s="61">
        <v>0.1308</v>
      </c>
      <c r="D3" s="61">
        <v>0.13350000000000001</v>
      </c>
      <c r="E3" s="61">
        <v>9.7299999999999998E-2</v>
      </c>
      <c r="F3" s="61">
        <v>1.8499999999999999E-2</v>
      </c>
      <c r="G3" s="61">
        <v>0.1123</v>
      </c>
      <c r="H3" s="61">
        <v>0.23469999999999999</v>
      </c>
      <c r="I3" s="61">
        <f t="shared" ref="I3:I8" si="0">SUM(B3:H3)</f>
        <v>0.99999999999999978</v>
      </c>
    </row>
    <row r="4" spans="1:9">
      <c r="A4" s="60">
        <v>2003</v>
      </c>
      <c r="B4" s="61">
        <v>0.27939999999999998</v>
      </c>
      <c r="C4" s="61">
        <v>0.1328</v>
      </c>
      <c r="D4" s="61">
        <v>0.13289999999999999</v>
      </c>
      <c r="E4" s="61">
        <v>9.8199999999999996E-2</v>
      </c>
      <c r="F4" s="61">
        <v>1.6400000000000001E-2</v>
      </c>
      <c r="G4" s="61">
        <v>0.1149</v>
      </c>
      <c r="H4" s="61">
        <v>0.22539999999999999</v>
      </c>
      <c r="I4" s="61">
        <f t="shared" si="0"/>
        <v>1</v>
      </c>
    </row>
    <row r="5" spans="1:9">
      <c r="A5" s="60">
        <v>2004</v>
      </c>
      <c r="B5" s="61">
        <v>0.29139999999999999</v>
      </c>
      <c r="C5" s="61">
        <v>0.15110000000000001</v>
      </c>
      <c r="D5" s="61">
        <v>0.13350000000000001</v>
      </c>
      <c r="E5" s="61">
        <v>9.0399999999999994E-2</v>
      </c>
      <c r="F5" s="61">
        <v>1.7600000000000001E-2</v>
      </c>
      <c r="G5" s="61">
        <v>0.10780000000000001</v>
      </c>
      <c r="H5" s="61">
        <v>0.2082</v>
      </c>
      <c r="I5" s="61">
        <f t="shared" si="0"/>
        <v>1</v>
      </c>
    </row>
    <row r="6" spans="1:9">
      <c r="A6" s="60">
        <v>2005</v>
      </c>
      <c r="B6" s="61">
        <v>0.30299999999999999</v>
      </c>
      <c r="C6" s="61">
        <v>0.14369999999999999</v>
      </c>
      <c r="D6" s="61">
        <v>0.13689999999999999</v>
      </c>
      <c r="E6" s="61">
        <v>9.6799999999999997E-2</v>
      </c>
      <c r="F6" s="61">
        <v>1.7500000000000002E-2</v>
      </c>
      <c r="G6" s="61">
        <v>0.1066</v>
      </c>
      <c r="H6" s="61">
        <v>0.19550000000000001</v>
      </c>
      <c r="I6" s="61">
        <f t="shared" si="0"/>
        <v>1</v>
      </c>
    </row>
    <row r="7" spans="1:9">
      <c r="A7" s="60">
        <v>2006</v>
      </c>
      <c r="B7" s="61">
        <v>0.30742999999999998</v>
      </c>
      <c r="C7" s="61">
        <v>0.15454000000000001</v>
      </c>
      <c r="D7" s="61">
        <v>0.14249999999999999</v>
      </c>
      <c r="E7" s="61">
        <v>9.7909999999999997E-2</v>
      </c>
      <c r="F7" s="61">
        <v>1.7090000000000001E-2</v>
      </c>
      <c r="G7" s="61">
        <v>0.10076</v>
      </c>
      <c r="H7" s="61">
        <v>0.17977000000000001</v>
      </c>
      <c r="I7" s="61">
        <f t="shared" si="0"/>
        <v>1</v>
      </c>
    </row>
    <row r="8" spans="1:9">
      <c r="A8" s="60">
        <v>2007</v>
      </c>
      <c r="B8" s="61">
        <v>0.32129999999999997</v>
      </c>
      <c r="C8" s="61">
        <v>0.15029999999999999</v>
      </c>
      <c r="D8" s="61">
        <v>0.14399999999999999</v>
      </c>
      <c r="E8" s="61">
        <v>8.8599999999999998E-2</v>
      </c>
      <c r="F8" s="61">
        <v>2.0400000000000001E-2</v>
      </c>
      <c r="G8" s="61">
        <v>9.9900000000000003E-2</v>
      </c>
      <c r="H8" s="61">
        <v>0.17549999999999999</v>
      </c>
      <c r="I8" s="61">
        <f t="shared" si="0"/>
        <v>0.99999999999999989</v>
      </c>
    </row>
    <row r="9" spans="1:9">
      <c r="A9" s="60">
        <v>2008</v>
      </c>
      <c r="B9" s="61">
        <v>0.32969658838779731</v>
      </c>
      <c r="C9" s="61">
        <v>0.12971625683075821</v>
      </c>
      <c r="D9" s="61">
        <v>0.16106556952794587</v>
      </c>
      <c r="E9" s="61">
        <v>7.8293055199312636E-2</v>
      </c>
      <c r="F9" s="61">
        <v>2.179861584770414E-2</v>
      </c>
      <c r="G9" s="61">
        <v>9.3612586883333931E-2</v>
      </c>
      <c r="H9" s="61">
        <v>0.18581732732314793</v>
      </c>
      <c r="I9" s="61">
        <v>1</v>
      </c>
    </row>
    <row r="10" spans="1:9">
      <c r="A10" s="60">
        <v>2009</v>
      </c>
      <c r="B10" s="61">
        <v>0.31792188326863596</v>
      </c>
      <c r="C10" s="61">
        <v>0.13110897096671345</v>
      </c>
      <c r="D10" s="61">
        <v>0.18664199291999328</v>
      </c>
      <c r="E10" s="61">
        <v>6.9203285596426467E-2</v>
      </c>
      <c r="F10" s="61">
        <v>2.4265293176043676E-2</v>
      </c>
      <c r="G10" s="61">
        <v>9.3485670710663063E-2</v>
      </c>
      <c r="H10" s="61">
        <v>0.17737290336152409</v>
      </c>
      <c r="I10" s="61">
        <v>1</v>
      </c>
    </row>
    <row r="11" spans="1:9">
      <c r="A11" s="60">
        <v>2010</v>
      </c>
      <c r="B11" s="61">
        <v>0.33487596018724608</v>
      </c>
      <c r="C11" s="61">
        <v>0.12369997765048418</v>
      </c>
      <c r="D11" s="61">
        <v>0.17127444286943291</v>
      </c>
      <c r="E11" s="61">
        <v>6.8683429824051137E-2</v>
      </c>
      <c r="F11" s="61">
        <v>2.1925181168849062E-2</v>
      </c>
      <c r="G11" s="61">
        <v>9.8686889406635669E-2</v>
      </c>
      <c r="H11" s="61">
        <v>0.18085411889330097</v>
      </c>
      <c r="I11" s="61">
        <v>1</v>
      </c>
    </row>
    <row r="12" spans="1:9">
      <c r="A12" s="60">
        <v>2011</v>
      </c>
      <c r="B12" s="61">
        <v>0.34294596037303354</v>
      </c>
      <c r="C12" s="61">
        <v>0.12515213363896127</v>
      </c>
      <c r="D12" s="61">
        <v>0.16918328256978679</v>
      </c>
      <c r="E12" s="61">
        <v>6.1862027820516849E-2</v>
      </c>
      <c r="F12" s="61">
        <v>2.235438188840393E-2</v>
      </c>
      <c r="G12" s="61">
        <v>9.4873614469180773E-2</v>
      </c>
      <c r="H12" s="61">
        <v>0.18362859924011682</v>
      </c>
      <c r="I12" s="61">
        <v>1</v>
      </c>
    </row>
    <row r="13" spans="1:9">
      <c r="A13" s="60">
        <v>2012</v>
      </c>
      <c r="B13" s="61">
        <v>0.34705919965538939</v>
      </c>
      <c r="C13" s="61">
        <v>0.13655598070988434</v>
      </c>
      <c r="D13" s="61">
        <v>0.17866443208243732</v>
      </c>
      <c r="E13" s="61">
        <v>5.7469198746748246E-2</v>
      </c>
      <c r="F13" s="61">
        <v>1.8129747229485741E-2</v>
      </c>
      <c r="G13" s="61">
        <v>9.7841135868778753E-2</v>
      </c>
      <c r="H13" s="61">
        <v>0.1642803057072762</v>
      </c>
      <c r="I13" s="61">
        <v>1</v>
      </c>
    </row>
    <row r="14" spans="1:9">
      <c r="A14" s="60">
        <v>2013</v>
      </c>
      <c r="B14" s="61">
        <v>0.32501586579292119</v>
      </c>
      <c r="C14" s="61">
        <v>0.1351250410507269</v>
      </c>
      <c r="D14" s="61">
        <v>0.195149610670971</v>
      </c>
      <c r="E14" s="61">
        <v>6.1864786954776589E-2</v>
      </c>
      <c r="F14" s="61">
        <v>2.5181356566434922E-2</v>
      </c>
      <c r="G14" s="61">
        <v>9.8641945364433867E-2</v>
      </c>
      <c r="H14" s="61">
        <v>0.15902139359973555</v>
      </c>
      <c r="I14" s="61">
        <v>1</v>
      </c>
    </row>
    <row r="15" spans="1:9">
      <c r="A15" s="60">
        <v>2014</v>
      </c>
      <c r="B15" s="61">
        <v>0.30108412026863668</v>
      </c>
      <c r="C15" s="61">
        <v>0.15055672643235124</v>
      </c>
      <c r="D15" s="61">
        <v>0.17215737499477318</v>
      </c>
      <c r="E15" s="61">
        <v>6.4488648597371426E-2</v>
      </c>
      <c r="F15" s="61">
        <v>2.9650885938015854E-2</v>
      </c>
      <c r="G15" s="61">
        <v>9.6100449787276263E-2</v>
      </c>
      <c r="H15" s="61">
        <v>0.18596179398157539</v>
      </c>
      <c r="I15" s="61">
        <v>1</v>
      </c>
    </row>
    <row r="16" spans="1:9">
      <c r="A16" s="60">
        <v>2015</v>
      </c>
      <c r="B16" s="61">
        <v>0.3460084731817023</v>
      </c>
      <c r="C16" s="61">
        <v>0.13609943243234524</v>
      </c>
      <c r="D16" s="61">
        <v>0.15246758023870755</v>
      </c>
      <c r="E16" s="61">
        <v>6.7139478379834736E-2</v>
      </c>
      <c r="F16" s="61">
        <v>2.9327017704626049E-2</v>
      </c>
      <c r="G16" s="61">
        <v>9.6190294883501823E-2</v>
      </c>
      <c r="H16" s="61">
        <v>0.17276772317928232</v>
      </c>
      <c r="I16" s="61">
        <v>1</v>
      </c>
    </row>
    <row r="17" spans="1:9">
      <c r="A17" s="60">
        <v>2016</v>
      </c>
      <c r="B17" s="61">
        <v>0.36662308156784723</v>
      </c>
      <c r="C17" s="61">
        <v>0.12010001197711069</v>
      </c>
      <c r="D17" s="61">
        <v>0.14576329878174787</v>
      </c>
      <c r="E17" s="61">
        <v>5.906577295493938E-2</v>
      </c>
      <c r="F17" s="61">
        <v>2.8078567363800704E-2</v>
      </c>
      <c r="G17" s="61">
        <v>9.3677761111873037E-2</v>
      </c>
      <c r="H17" s="61">
        <v>0.18669150624268108</v>
      </c>
      <c r="I17" s="61">
        <v>1</v>
      </c>
    </row>
    <row r="18" spans="1:9" hidden="1">
      <c r="A18" s="62" t="s">
        <v>17</v>
      </c>
      <c r="B18" s="62" t="s">
        <v>18</v>
      </c>
      <c r="C18" s="63"/>
      <c r="D18" s="63"/>
      <c r="E18" s="63"/>
      <c r="F18" s="63"/>
      <c r="G18" s="63"/>
      <c r="H18" s="63"/>
      <c r="I18" s="63"/>
    </row>
    <row r="19" spans="1:9" hidden="1">
      <c r="A19" s="62" t="s">
        <v>19</v>
      </c>
      <c r="B19" s="63" t="s">
        <v>9</v>
      </c>
      <c r="C19" s="63" t="s">
        <v>10</v>
      </c>
      <c r="D19" s="63" t="s">
        <v>11</v>
      </c>
      <c r="E19" s="63" t="s">
        <v>20</v>
      </c>
      <c r="F19" s="63" t="s">
        <v>13</v>
      </c>
      <c r="G19" s="63" t="s">
        <v>14</v>
      </c>
      <c r="H19" s="63" t="s">
        <v>15</v>
      </c>
      <c r="I19" s="63" t="s">
        <v>21</v>
      </c>
    </row>
    <row r="20" spans="1:9">
      <c r="A20" s="63">
        <v>2017</v>
      </c>
      <c r="B20" s="64">
        <v>0.45382719830706686</v>
      </c>
      <c r="C20" s="64">
        <v>4.2314377998233878E-2</v>
      </c>
      <c r="D20" s="64">
        <v>8.2575239262046629E-2</v>
      </c>
      <c r="E20" s="64">
        <v>6.7413026356613809E-2</v>
      </c>
      <c r="F20" s="64">
        <v>2.1845838073493027E-2</v>
      </c>
      <c r="G20" s="64">
        <v>0.11135629559503257</v>
      </c>
      <c r="H20" s="64">
        <v>0.22066802440751318</v>
      </c>
      <c r="I20" s="64">
        <v>1</v>
      </c>
    </row>
    <row r="21" spans="1:9">
      <c r="A21" s="63">
        <v>2018</v>
      </c>
      <c r="B21" s="64">
        <v>0.48060111252708521</v>
      </c>
      <c r="C21" s="64">
        <v>4.2754015042939311E-2</v>
      </c>
      <c r="D21" s="64">
        <v>7.5648816569166139E-2</v>
      </c>
      <c r="E21" s="64">
        <v>7.4857719811074599E-2</v>
      </c>
      <c r="F21" s="64">
        <v>2.3028024942993386E-2</v>
      </c>
      <c r="G21" s="64">
        <v>0.10063718835439017</v>
      </c>
      <c r="H21" s="64">
        <v>0.20247312275235116</v>
      </c>
      <c r="I21" s="64">
        <v>1</v>
      </c>
    </row>
    <row r="22" spans="1:9">
      <c r="A22" s="63">
        <v>2019</v>
      </c>
      <c r="B22" s="64">
        <v>0.45738094088487602</v>
      </c>
      <c r="C22" s="64">
        <v>4.8425957220800543E-2</v>
      </c>
      <c r="D22" s="64">
        <v>7.0563951523345089E-2</v>
      </c>
      <c r="E22" s="64">
        <v>7.3765953680009017E-2</v>
      </c>
      <c r="F22" s="64">
        <v>3.0017864902708705E-2</v>
      </c>
      <c r="G22" s="64">
        <v>0.11040027038771667</v>
      </c>
      <c r="H22" s="64">
        <v>0.209445061400544</v>
      </c>
      <c r="I22" s="64">
        <v>1</v>
      </c>
    </row>
    <row r="23" spans="1:9">
      <c r="A23" s="63">
        <v>2020</v>
      </c>
      <c r="B23" s="64">
        <v>0.46450137049970064</v>
      </c>
      <c r="C23" s="64">
        <v>4.8308505879031162E-2</v>
      </c>
      <c r="D23" s="64">
        <v>6.9289527807783344E-2</v>
      </c>
      <c r="E23" s="64">
        <v>6.938339246554448E-2</v>
      </c>
      <c r="F23" s="64">
        <v>2.4812819489936421E-2</v>
      </c>
      <c r="G23" s="64">
        <v>9.9109724000057534E-2</v>
      </c>
      <c r="H23" s="64">
        <v>0.22459465985794644</v>
      </c>
      <c r="I23" s="64">
        <v>1</v>
      </c>
    </row>
    <row r="24" spans="1:9">
      <c r="A24" s="63">
        <v>2021</v>
      </c>
      <c r="B24" s="64">
        <v>0.45273318293942155</v>
      </c>
      <c r="C24" s="64">
        <v>4.9399129556263729E-2</v>
      </c>
      <c r="D24" s="64">
        <v>7.5131631788789344E-2</v>
      </c>
      <c r="E24" s="64">
        <v>6.972977346638666E-2</v>
      </c>
      <c r="F24" s="64">
        <v>2.7196356102496495E-2</v>
      </c>
      <c r="G24" s="64">
        <v>8.9750870183924483E-2</v>
      </c>
      <c r="H24" s="64">
        <v>0.23605905596271776</v>
      </c>
      <c r="I24" s="64">
        <v>1</v>
      </c>
    </row>
    <row r="25" spans="1:9">
      <c r="A25" s="63">
        <v>2022</v>
      </c>
      <c r="B25" s="64">
        <v>0.43409832970590007</v>
      </c>
      <c r="C25" s="64">
        <v>6.3629671414683758E-2</v>
      </c>
      <c r="D25" s="64">
        <v>7.5723907031130452E-2</v>
      </c>
      <c r="E25" s="64">
        <v>7.1036029966481451E-2</v>
      </c>
      <c r="F25" s="64">
        <v>3.0318947686550177E-2</v>
      </c>
      <c r="G25" s="64">
        <v>9.9138931836988547E-2</v>
      </c>
      <c r="H25" s="64">
        <v>0.22605418235826555</v>
      </c>
      <c r="I25" s="64">
        <v>1</v>
      </c>
    </row>
    <row r="26" spans="1:9">
      <c r="A26" s="63">
        <v>2023</v>
      </c>
      <c r="B26" s="64">
        <v>0.4167407721680102</v>
      </c>
      <c r="C26" s="64">
        <v>5.5302503182011034E-2</v>
      </c>
      <c r="D26" s="64">
        <v>7.220280016970726E-2</v>
      </c>
      <c r="E26" s="64">
        <v>7.7345778532032242E-2</v>
      </c>
      <c r="F26" s="64">
        <v>3.7543487484089942E-2</v>
      </c>
      <c r="G26" s="64">
        <v>0.10864403903266864</v>
      </c>
      <c r="H26" s="64">
        <v>0.2322206194314807</v>
      </c>
      <c r="I26" s="64">
        <v>1</v>
      </c>
    </row>
    <row r="27" spans="1:9">
      <c r="A27" s="63">
        <v>2024</v>
      </c>
      <c r="B27" s="64">
        <v>0.43927562665700204</v>
      </c>
      <c r="C27" s="64">
        <v>4.6100209968997073E-2</v>
      </c>
      <c r="D27" s="64">
        <v>7.6929804173380023E-2</v>
      </c>
      <c r="E27" s="64">
        <v>6.9262981244607974E-2</v>
      </c>
      <c r="F27" s="64">
        <v>3.5250367347260357E-2</v>
      </c>
      <c r="G27" s="64">
        <v>0.11294441139741655</v>
      </c>
      <c r="H27" s="64">
        <v>0.22023659921133595</v>
      </c>
      <c r="I27" s="64">
        <v>1</v>
      </c>
    </row>
    <row r="28" spans="1:9">
      <c r="A28" s="63">
        <v>2025</v>
      </c>
      <c r="B28" s="64">
        <v>0.426446637035169</v>
      </c>
      <c r="C28" s="64">
        <v>5.368344734104593E-2</v>
      </c>
      <c r="D28" s="64">
        <v>7.1630467904464687E-2</v>
      </c>
      <c r="E28" s="64">
        <v>7.3416763862182016E-2</v>
      </c>
      <c r="F28" s="64">
        <v>2.5759438472611879E-2</v>
      </c>
      <c r="G28" s="64">
        <v>0.12345931973646881</v>
      </c>
      <c r="H28" s="64">
        <v>0.22560392564805767</v>
      </c>
      <c r="I28" s="64">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313"/>
  <sheetViews>
    <sheetView workbookViewId="0">
      <pane xSplit="1" ySplit="1" topLeftCell="B279" activePane="bottomRight" state="frozen"/>
      <selection pane="topRight" activeCell="B1" sqref="B1"/>
      <selection pane="bottomLeft" activeCell="A7" sqref="A7"/>
      <selection pane="bottomRight" activeCell="R293" sqref="R293"/>
    </sheetView>
  </sheetViews>
  <sheetFormatPr defaultColWidth="11.5703125" defaultRowHeight="12.75"/>
  <cols>
    <col min="1" max="1" width="13.42578125" style="4" customWidth="1"/>
    <col min="2" max="2" width="13.42578125" customWidth="1"/>
    <col min="3" max="3" width="13.42578125" style="6" customWidth="1"/>
    <col min="4" max="5" width="11.5703125" style="6"/>
    <col min="6" max="7" width="11.5703125" style="16"/>
    <col min="12" max="12" width="11.5703125" style="16"/>
    <col min="13" max="13" width="11.7109375" style="16" customWidth="1"/>
    <col min="14" max="15" width="11.7109375" customWidth="1"/>
    <col min="18" max="18" width="16" bestFit="1" customWidth="1"/>
    <col min="20" max="20" width="15.140625" bestFit="1" customWidth="1"/>
    <col min="22" max="22" width="14.140625" customWidth="1"/>
    <col min="23" max="23" width="13.7109375" bestFit="1" customWidth="1"/>
  </cols>
  <sheetData>
    <row r="1" spans="1:18" ht="13.5" thickBot="1">
      <c r="A1" s="24" t="s">
        <v>22</v>
      </c>
      <c r="B1" s="2" t="s">
        <v>8</v>
      </c>
      <c r="C1" s="55" t="s">
        <v>23</v>
      </c>
      <c r="D1" s="55" t="s">
        <v>24</v>
      </c>
      <c r="E1" s="55" t="s">
        <v>25</v>
      </c>
      <c r="F1" s="19" t="s">
        <v>10</v>
      </c>
      <c r="G1" s="16" t="s">
        <v>11</v>
      </c>
      <c r="H1" s="2" t="s">
        <v>12</v>
      </c>
      <c r="I1" s="2" t="s">
        <v>13</v>
      </c>
      <c r="J1" s="2" t="s">
        <v>14</v>
      </c>
      <c r="K1" s="2" t="s">
        <v>15</v>
      </c>
      <c r="L1" s="17" t="s">
        <v>26</v>
      </c>
      <c r="M1" s="44" t="s">
        <v>27</v>
      </c>
      <c r="N1" s="1" t="s">
        <v>28</v>
      </c>
      <c r="O1" s="2" t="s">
        <v>29</v>
      </c>
      <c r="P1" s="2" t="s">
        <v>30</v>
      </c>
      <c r="Q1" s="2" t="s">
        <v>31</v>
      </c>
      <c r="R1" s="2" t="s">
        <v>32</v>
      </c>
    </row>
    <row r="2" spans="1:18">
      <c r="A2" s="4">
        <v>36906</v>
      </c>
      <c r="B2">
        <f>YEAR(data[[#This Row],[Date]])</f>
        <v>2001</v>
      </c>
      <c r="D2" s="8"/>
      <c r="E2" s="8"/>
      <c r="F2" s="9">
        <v>7.9299999999999995E-2</v>
      </c>
      <c r="G2" s="16">
        <v>0</v>
      </c>
      <c r="H2" s="8">
        <v>0</v>
      </c>
      <c r="I2" s="8">
        <v>0</v>
      </c>
      <c r="J2" s="8">
        <v>0</v>
      </c>
      <c r="K2" s="8">
        <v>0</v>
      </c>
      <c r="L2" s="9" t="str">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
      </c>
      <c r="M2"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2" s="14" t="str">
        <f>IF(data[[#This Row],[Weighted_Avg]]&lt;&gt;"", IFERROR(AVERAGE(#REF!,#REF!,#REF!), ""), "")</f>
        <v/>
      </c>
      <c r="O2" s="4" t="b">
        <f>IF(data[[#This Row],[Date]]&gt;MAX(data[Date])-750, TRUE, FALSE)</f>
        <v>0</v>
      </c>
      <c r="R2">
        <v>1.524</v>
      </c>
    </row>
    <row r="3" spans="1:18">
      <c r="A3" s="4">
        <v>36937</v>
      </c>
      <c r="B3">
        <f>YEAR(data[[#This Row],[Date]])</f>
        <v>2001</v>
      </c>
      <c r="D3" s="7"/>
      <c r="E3" s="8"/>
      <c r="F3" s="9">
        <v>6.7100000000000007E-2</v>
      </c>
      <c r="G3" s="16">
        <v>0</v>
      </c>
      <c r="H3" s="8">
        <v>0</v>
      </c>
      <c r="I3" s="8">
        <v>0</v>
      </c>
      <c r="J3" s="8">
        <v>0</v>
      </c>
      <c r="K3" s="8">
        <v>0</v>
      </c>
      <c r="L3" s="9" t="str">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
      </c>
      <c r="M3"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3" s="14" t="str">
        <f>IF(data[[#This Row],[Weighted_Avg]]&lt;&gt;"", IFERROR(AVERAGE(#REF!,#REF!,#REF!), ""), "")</f>
        <v/>
      </c>
      <c r="O3" s="4" t="b">
        <f>IF(data[[#This Row],[Date]]&gt;MAX(data[Date])-750, TRUE, FALSE)</f>
        <v>0</v>
      </c>
      <c r="R3">
        <v>1.492</v>
      </c>
    </row>
    <row r="4" spans="1:18">
      <c r="A4" s="4">
        <v>36965</v>
      </c>
      <c r="B4">
        <f>YEAR(data[[#This Row],[Date]])</f>
        <v>2001</v>
      </c>
      <c r="C4" s="6">
        <f t="shared" ref="C4:C69" si="0">IF(R2&gt;1.25, ROUNDDOWN((R2-1.25)/0.04, 0)+1, 0)/100</f>
        <v>7.0000000000000007E-2</v>
      </c>
      <c r="D4" s="7">
        <f t="shared" ref="D4:D66" si="1">IF(R2&gt;2.5,ROUNDDOWN((R2-2.5)/0.04,0)+1,ROUNDUP((R2-2.5)/0.04,0)+1)/100</f>
        <v>-0.24</v>
      </c>
      <c r="E4" s="7">
        <f t="shared" ref="E4:E67" si="2">IF(R2&gt;3.25, ROUNDDOWN((R2-3.25)/0.04, 0)+1, 0)/100</f>
        <v>0</v>
      </c>
      <c r="F4" s="9">
        <v>6.0999999999999999E-2</v>
      </c>
      <c r="G4" s="16">
        <v>0</v>
      </c>
      <c r="H4" s="8">
        <v>0</v>
      </c>
      <c r="I4" s="8">
        <v>0</v>
      </c>
      <c r="J4" s="8">
        <v>0</v>
      </c>
      <c r="K4" s="8">
        <v>0</v>
      </c>
      <c r="L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1.8714285714285715E-2</v>
      </c>
      <c r="M4"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4" s="14" t="str">
        <f>IF(data[[#This Row],[Weighted_Avg]]&lt;&gt;"", IFERROR(AVERAGE(#REF!,#REF!,#REF!), ""), "")</f>
        <v/>
      </c>
      <c r="O4" s="4" t="b">
        <f>IF(data[[#This Row],[Date]]&gt;MAX(data[Date])-750, TRUE, FALSE)</f>
        <v>0</v>
      </c>
      <c r="R4">
        <v>1.399</v>
      </c>
    </row>
    <row r="5" spans="1:18">
      <c r="A5" s="4">
        <v>36996</v>
      </c>
      <c r="B5">
        <f>YEAR(data[[#This Row],[Date]])</f>
        <v>2001</v>
      </c>
      <c r="C5" s="6">
        <f t="shared" si="0"/>
        <v>7.0000000000000007E-2</v>
      </c>
      <c r="D5" s="7">
        <f t="shared" si="1"/>
        <v>-0.25</v>
      </c>
      <c r="E5" s="7">
        <f t="shared" si="2"/>
        <v>0</v>
      </c>
      <c r="F5" s="9">
        <v>5.4899999999999997E-2</v>
      </c>
      <c r="G5" s="16">
        <v>0</v>
      </c>
      <c r="H5" s="8">
        <v>0</v>
      </c>
      <c r="I5" s="8">
        <v>0</v>
      </c>
      <c r="J5" s="8">
        <v>0</v>
      </c>
      <c r="K5" s="8">
        <v>0</v>
      </c>
      <c r="L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5"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5" s="14" t="str">
        <f>IF(data[[#This Row],[Weighted_Avg]]&lt;&gt;"", IFERROR(AVERAGE(#REF!,#REF!,#REF!), ""), "")</f>
        <v/>
      </c>
      <c r="O5" s="4" t="b">
        <f>IF(data[[#This Row],[Date]]&gt;MAX(data[Date])-750, TRUE, FALSE)</f>
        <v>0</v>
      </c>
      <c r="R5">
        <v>1.4219999999999999</v>
      </c>
    </row>
    <row r="6" spans="1:18">
      <c r="A6" s="4">
        <v>37026</v>
      </c>
      <c r="B6">
        <f>YEAR(data[[#This Row],[Date]])</f>
        <v>2001</v>
      </c>
      <c r="C6" s="6">
        <f t="shared" si="0"/>
        <v>0.04</v>
      </c>
      <c r="D6" s="7">
        <f t="shared" si="1"/>
        <v>-0.27</v>
      </c>
      <c r="E6" s="7">
        <f t="shared" si="2"/>
        <v>0</v>
      </c>
      <c r="F6" s="9">
        <v>3.0499999999999999E-2</v>
      </c>
      <c r="G6" s="16">
        <v>0</v>
      </c>
      <c r="H6" s="8">
        <v>0</v>
      </c>
      <c r="I6" s="8">
        <v>0</v>
      </c>
      <c r="J6" s="8">
        <v>0</v>
      </c>
      <c r="K6" s="8">
        <v>0</v>
      </c>
      <c r="L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1.0071428571428573E-2</v>
      </c>
      <c r="M6"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6" s="14" t="str">
        <f>IF(data[[#This Row],[Weighted_Avg]]&lt;&gt;"", IFERROR(AVERAGE(#REF!,#REF!,#REF!), ""), "")</f>
        <v/>
      </c>
      <c r="O6" s="4" t="b">
        <f>IF(data[[#This Row],[Date]]&gt;MAX(data[Date])-750, TRUE, FALSE)</f>
        <v>0</v>
      </c>
      <c r="R6">
        <v>1.496</v>
      </c>
    </row>
    <row r="7" spans="1:18">
      <c r="A7" s="4">
        <v>37057</v>
      </c>
      <c r="B7">
        <f>YEAR(data[[#This Row],[Date]])</f>
        <v>2001</v>
      </c>
      <c r="C7" s="6">
        <f t="shared" si="0"/>
        <v>0.05</v>
      </c>
      <c r="D7" s="7">
        <f t="shared" si="1"/>
        <v>-0.26</v>
      </c>
      <c r="E7" s="7">
        <f t="shared" si="2"/>
        <v>0</v>
      </c>
      <c r="F7" s="9">
        <v>3.6600000000000001E-2</v>
      </c>
      <c r="G7" s="16">
        <v>0</v>
      </c>
      <c r="H7" s="8">
        <v>0</v>
      </c>
      <c r="I7" s="8">
        <v>0</v>
      </c>
      <c r="J7" s="8">
        <v>0</v>
      </c>
      <c r="K7" s="8">
        <v>0</v>
      </c>
      <c r="L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7"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7" s="14" t="str">
        <f>IF(data[[#This Row],[Weighted_Avg]]&lt;&gt;"", IFERROR(AVERAGE(#REF!,#REF!,#REF!), ""), "")</f>
        <v/>
      </c>
      <c r="O7" s="4" t="b">
        <f>IF(data[[#This Row],[Date]]&gt;MAX(data[Date])-750, TRUE, FALSE)</f>
        <v>0</v>
      </c>
      <c r="R7">
        <v>1.482</v>
      </c>
    </row>
    <row r="8" spans="1:18">
      <c r="A8" s="4">
        <v>37087</v>
      </c>
      <c r="B8">
        <f>YEAR(data[[#This Row],[Date]])</f>
        <v>2001</v>
      </c>
      <c r="C8" s="6">
        <f t="shared" si="0"/>
        <v>7.0000000000000007E-2</v>
      </c>
      <c r="D8" s="7">
        <f t="shared" si="1"/>
        <v>-0.25</v>
      </c>
      <c r="E8" s="7">
        <f t="shared" si="2"/>
        <v>0</v>
      </c>
      <c r="F8" s="9">
        <v>5.4899999999999997E-2</v>
      </c>
      <c r="G8" s="16">
        <v>0</v>
      </c>
      <c r="H8" s="8">
        <v>0</v>
      </c>
      <c r="I8" s="8">
        <v>0</v>
      </c>
      <c r="J8" s="8">
        <v>0</v>
      </c>
      <c r="K8" s="8">
        <v>0</v>
      </c>
      <c r="L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8"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8" s="14" t="str">
        <f>IF(data[[#This Row],[Weighted_Avg]]&lt;&gt;"", IFERROR(AVERAGE(#REF!,#REF!,#REF!), ""), "")</f>
        <v/>
      </c>
      <c r="O8" s="4" t="b">
        <f>IF(data[[#This Row],[Date]]&gt;MAX(data[Date])-750, TRUE, FALSE)</f>
        <v>0</v>
      </c>
      <c r="R8">
        <v>1.375</v>
      </c>
    </row>
    <row r="9" spans="1:18">
      <c r="A9" s="4">
        <v>37118</v>
      </c>
      <c r="B9">
        <f>YEAR(data[[#This Row],[Date]])</f>
        <v>2001</v>
      </c>
      <c r="C9" s="6">
        <f t="shared" si="0"/>
        <v>0.06</v>
      </c>
      <c r="D9" s="7">
        <f t="shared" si="1"/>
        <v>-0.25</v>
      </c>
      <c r="E9" s="7">
        <f t="shared" si="2"/>
        <v>0</v>
      </c>
      <c r="F9" s="9">
        <v>4.8800000000000003E-2</v>
      </c>
      <c r="G9" s="16">
        <v>0</v>
      </c>
      <c r="H9" s="8">
        <v>0</v>
      </c>
      <c r="I9" s="8">
        <v>0</v>
      </c>
      <c r="J9" s="8">
        <v>0</v>
      </c>
      <c r="K9" s="8">
        <v>0</v>
      </c>
      <c r="L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9"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9" s="14" t="str">
        <f>IF(data[[#This Row],[Weighted_Avg]]&lt;&gt;"", IFERROR(AVERAGE(#REF!,#REF!,#REF!), ""), "")</f>
        <v/>
      </c>
      <c r="O9" s="4" t="b">
        <f>IF(data[[#This Row],[Date]]&gt;MAX(data[Date])-750, TRUE, FALSE)</f>
        <v>0</v>
      </c>
      <c r="R9">
        <v>1.39</v>
      </c>
    </row>
    <row r="10" spans="1:18">
      <c r="A10" s="4">
        <v>37149</v>
      </c>
      <c r="B10">
        <f>YEAR(data[[#This Row],[Date]])</f>
        <v>2001</v>
      </c>
      <c r="C10" s="6">
        <f t="shared" si="0"/>
        <v>0.04</v>
      </c>
      <c r="D10" s="7">
        <f t="shared" si="1"/>
        <v>-0.28000000000000003</v>
      </c>
      <c r="E10" s="7">
        <f t="shared" si="2"/>
        <v>0</v>
      </c>
      <c r="F10" s="9">
        <v>3.0499999999999999E-2</v>
      </c>
      <c r="G10" s="16">
        <v>0</v>
      </c>
      <c r="H10" s="8">
        <v>0</v>
      </c>
      <c r="I10" s="8">
        <v>0</v>
      </c>
      <c r="J10" s="8">
        <v>0</v>
      </c>
      <c r="K10" s="8">
        <v>0</v>
      </c>
      <c r="L1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1.0071428571428573E-2</v>
      </c>
      <c r="M10"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0" s="14" t="str">
        <f>IF(data[[#This Row],[Weighted_Avg]]&lt;&gt;"", IFERROR(AVERAGE(#REF!,#REF!,#REF!), ""), "")</f>
        <v/>
      </c>
      <c r="O10" s="4" t="b">
        <f>IF(data[[#This Row],[Date]]&gt;MAX(data[Date])-750, TRUE, FALSE)</f>
        <v>0</v>
      </c>
      <c r="R10">
        <v>1.4950000000000001</v>
      </c>
    </row>
    <row r="11" spans="1:18">
      <c r="A11" s="4">
        <v>37179</v>
      </c>
      <c r="B11">
        <f>YEAR(data[[#This Row],[Date]])</f>
        <v>2001</v>
      </c>
      <c r="C11" s="6">
        <f t="shared" si="0"/>
        <v>0.04</v>
      </c>
      <c r="D11" s="7">
        <f t="shared" si="1"/>
        <v>-0.27</v>
      </c>
      <c r="E11" s="7">
        <f t="shared" si="2"/>
        <v>0</v>
      </c>
      <c r="F11" s="9">
        <v>3.0499999999999999E-2</v>
      </c>
      <c r="G11" s="16">
        <v>0</v>
      </c>
      <c r="H11" s="8">
        <v>0</v>
      </c>
      <c r="I11" s="8">
        <v>0</v>
      </c>
      <c r="J11" s="8">
        <v>0</v>
      </c>
      <c r="K11" s="8">
        <v>0</v>
      </c>
      <c r="L1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1.0071428571428573E-2</v>
      </c>
      <c r="M11"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1" s="14" t="str">
        <f>IF(data[[#This Row],[Weighted_Avg]]&lt;&gt;"", IFERROR(AVERAGE(#REF!,#REF!,#REF!), ""), "")</f>
        <v/>
      </c>
      <c r="O11" s="4" t="b">
        <f>IF(data[[#This Row],[Date]]&gt;MAX(data[Date])-750, TRUE, FALSE)</f>
        <v>0</v>
      </c>
      <c r="R11">
        <v>1.3480000000000001</v>
      </c>
    </row>
    <row r="12" spans="1:18">
      <c r="A12" s="4">
        <v>37210</v>
      </c>
      <c r="B12">
        <f>YEAR(data[[#This Row],[Date]])</f>
        <v>2001</v>
      </c>
      <c r="C12" s="6">
        <f t="shared" si="0"/>
        <v>7.0000000000000007E-2</v>
      </c>
      <c r="D12" s="7">
        <f t="shared" si="1"/>
        <v>-0.25</v>
      </c>
      <c r="E12" s="7">
        <f t="shared" si="2"/>
        <v>0</v>
      </c>
      <c r="F12" s="9">
        <v>5.4899999999999997E-2</v>
      </c>
      <c r="G12" s="16">
        <v>0</v>
      </c>
      <c r="H12" s="8">
        <v>0</v>
      </c>
      <c r="I12" s="8">
        <v>0</v>
      </c>
      <c r="J12" s="8">
        <v>0</v>
      </c>
      <c r="K12" s="8">
        <v>0</v>
      </c>
      <c r="L1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12"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2" s="14" t="str">
        <f>IF(data[[#This Row],[Weighted_Avg]]&lt;&gt;"", IFERROR(AVERAGE(#REF!,#REF!,#REF!), ""), "")</f>
        <v/>
      </c>
      <c r="O12" s="14" t="b">
        <f>IF(data[[#This Row],[Date]]&gt;MAX(data[Date])-750, TRUE, FALSE)</f>
        <v>0</v>
      </c>
      <c r="R12">
        <v>1.2589999999999999</v>
      </c>
    </row>
    <row r="13" spans="1:18">
      <c r="A13" s="4">
        <v>37240</v>
      </c>
      <c r="B13">
        <f>YEAR(data[[#This Row],[Date]])</f>
        <v>2001</v>
      </c>
      <c r="C13" s="6">
        <f t="shared" si="0"/>
        <v>0.03</v>
      </c>
      <c r="D13" s="7">
        <f t="shared" si="1"/>
        <v>-0.28000000000000003</v>
      </c>
      <c r="E13" s="7">
        <f t="shared" si="2"/>
        <v>0</v>
      </c>
      <c r="F13" s="9">
        <v>2.4400000000000002E-2</v>
      </c>
      <c r="G13" s="16">
        <v>0</v>
      </c>
      <c r="H13" s="8">
        <v>0</v>
      </c>
      <c r="I13" s="8">
        <v>0</v>
      </c>
      <c r="J13" s="8">
        <v>0</v>
      </c>
      <c r="K13" s="8">
        <v>0</v>
      </c>
      <c r="L1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7.7714285714285724E-3</v>
      </c>
      <c r="M13" s="16" t="str">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
      </c>
      <c r="N13" s="14" t="str">
        <f>IF(data[[#This Row],[Weighted_Avg]]&lt;&gt;"", IFERROR(AVERAGE(M1,#REF!,#REF!), ""), "")</f>
        <v/>
      </c>
      <c r="O13" s="14" t="b">
        <f>IF(data[[#This Row],[Date]]&gt;MAX(data[Date])-750, TRUE, FALSE)</f>
        <v>0</v>
      </c>
      <c r="R13">
        <v>1.167</v>
      </c>
    </row>
    <row r="14" spans="1:18">
      <c r="A14" s="4">
        <v>37271</v>
      </c>
      <c r="B14">
        <f>YEAR(data[[#This Row],[Date]])</f>
        <v>2002</v>
      </c>
      <c r="C14" s="6">
        <f t="shared" si="0"/>
        <v>0.01</v>
      </c>
      <c r="D14" s="7">
        <f t="shared" si="1"/>
        <v>-0.31</v>
      </c>
      <c r="E14" s="7">
        <f t="shared" si="2"/>
        <v>0</v>
      </c>
      <c r="F14" s="9">
        <v>6.1000000000000004E-3</v>
      </c>
      <c r="G14" s="16">
        <v>0</v>
      </c>
      <c r="H14" s="8">
        <v>0</v>
      </c>
      <c r="I14" s="8">
        <v>0</v>
      </c>
      <c r="J14" s="8">
        <v>0</v>
      </c>
      <c r="K14" s="8">
        <v>0</v>
      </c>
      <c r="L1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2.3E-3</v>
      </c>
      <c r="M1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3.5268799999999996E-3</v>
      </c>
      <c r="N14" s="14" t="str">
        <f>IF(data[[#This Row],[Weighted_Avg]]&lt;&gt;"", IFERROR(AVERAGE(M2,#REF!,#REF!), ""), "")</f>
        <v/>
      </c>
      <c r="O14" s="14" t="b">
        <f>IF(data[[#This Row],[Date]]&gt;MAX(data[Date])-750, TRUE, FALSE)</f>
        <v>0</v>
      </c>
      <c r="R14">
        <v>1.153</v>
      </c>
    </row>
    <row r="15" spans="1:18">
      <c r="A15" s="4">
        <v>37302</v>
      </c>
      <c r="B15">
        <f>YEAR(data[[#This Row],[Date]])</f>
        <v>2002</v>
      </c>
      <c r="C15" s="6">
        <f t="shared" si="0"/>
        <v>0</v>
      </c>
      <c r="D15" s="7">
        <f t="shared" si="1"/>
        <v>-0.33</v>
      </c>
      <c r="E15" s="7">
        <f t="shared" si="2"/>
        <v>0</v>
      </c>
      <c r="F15" s="9">
        <v>0</v>
      </c>
      <c r="G15" s="16">
        <v>0</v>
      </c>
      <c r="H15" s="8">
        <v>0</v>
      </c>
      <c r="I15" s="8">
        <v>0</v>
      </c>
      <c r="J15" s="8">
        <v>0</v>
      </c>
      <c r="K15" s="8">
        <v>0</v>
      </c>
      <c r="L1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5" s="14" t="str">
        <f>IF(data[[#This Row],[Weighted_Avg]]&lt;&gt;"", IFERROR(AVERAGE(M3,#REF!,#REF!), ""), "")</f>
        <v/>
      </c>
      <c r="O15" s="14" t="b">
        <f>IF(data[[#This Row],[Date]]&gt;MAX(data[Date])-750, TRUE, FALSE)</f>
        <v>0</v>
      </c>
      <c r="R15">
        <v>1.1519999999999999</v>
      </c>
    </row>
    <row r="16" spans="1:18">
      <c r="A16" s="4">
        <v>37330</v>
      </c>
      <c r="B16">
        <f>YEAR(data[[#This Row],[Date]])</f>
        <v>2002</v>
      </c>
      <c r="C16" s="6">
        <f t="shared" si="0"/>
        <v>0</v>
      </c>
      <c r="D16" s="7">
        <f t="shared" si="1"/>
        <v>-0.33</v>
      </c>
      <c r="E16" s="7">
        <f t="shared" si="2"/>
        <v>0</v>
      </c>
      <c r="F16" s="9">
        <v>0</v>
      </c>
      <c r="G16" s="16">
        <v>0</v>
      </c>
      <c r="H16" s="8">
        <v>0</v>
      </c>
      <c r="I16" s="8">
        <v>0</v>
      </c>
      <c r="J16" s="8">
        <v>0</v>
      </c>
      <c r="K16" s="8">
        <v>0</v>
      </c>
      <c r="L1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6" s="14" t="str">
        <f>IF(data[[#This Row],[Weighted_Avg]]&lt;&gt;"", IFERROR(AVERAGE(M4,#REF!,#REF!), ""), "")</f>
        <v/>
      </c>
      <c r="O16" s="14" t="b">
        <f>IF(data[[#This Row],[Date]]&gt;MAX(data[Date])-750, TRUE, FALSE)</f>
        <v>0</v>
      </c>
      <c r="R16">
        <v>1.23</v>
      </c>
    </row>
    <row r="17" spans="1:18">
      <c r="A17" s="4">
        <v>37361</v>
      </c>
      <c r="B17">
        <f>YEAR(data[[#This Row],[Date]])</f>
        <v>2002</v>
      </c>
      <c r="C17" s="6">
        <f t="shared" si="0"/>
        <v>0</v>
      </c>
      <c r="D17" s="7">
        <f t="shared" si="1"/>
        <v>-0.33</v>
      </c>
      <c r="E17" s="7">
        <f t="shared" si="2"/>
        <v>0</v>
      </c>
      <c r="F17" s="9">
        <v>0</v>
      </c>
      <c r="G17" s="16">
        <v>0</v>
      </c>
      <c r="H17" s="8">
        <v>0</v>
      </c>
      <c r="I17" s="8">
        <v>0</v>
      </c>
      <c r="J17" s="8">
        <v>0</v>
      </c>
      <c r="K17" s="8">
        <v>0</v>
      </c>
      <c r="L1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7" s="14" t="str">
        <f>IF(data[[#This Row],[Weighted_Avg]]&lt;&gt;"", IFERROR(AVERAGE(M5,#REF!,#REF!), ""), "")</f>
        <v/>
      </c>
      <c r="O17" s="14" t="b">
        <f>IF(data[[#This Row],[Date]]&gt;MAX(data[Date])-750, TRUE, FALSE)</f>
        <v>0</v>
      </c>
      <c r="R17">
        <v>1.3089999999999999</v>
      </c>
    </row>
    <row r="18" spans="1:18">
      <c r="A18" s="4">
        <v>37391</v>
      </c>
      <c r="B18">
        <f>YEAR(data[[#This Row],[Date]])</f>
        <v>2002</v>
      </c>
      <c r="C18" s="6">
        <f t="shared" si="0"/>
        <v>0</v>
      </c>
      <c r="D18" s="7">
        <f t="shared" si="1"/>
        <v>-0.31</v>
      </c>
      <c r="E18" s="7">
        <f t="shared" si="2"/>
        <v>0</v>
      </c>
      <c r="F18" s="9">
        <v>0</v>
      </c>
      <c r="G18" s="16">
        <v>0</v>
      </c>
      <c r="H18" s="8">
        <v>0</v>
      </c>
      <c r="I18" s="8">
        <v>0</v>
      </c>
      <c r="J18" s="8">
        <v>0</v>
      </c>
      <c r="K18" s="8">
        <v>0</v>
      </c>
      <c r="L1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 s="14" t="str">
        <f>IF(data[[#This Row],[Weighted_Avg]]&lt;&gt;"", IFERROR(AVERAGE(M6,#REF!,#REF!), ""), "")</f>
        <v/>
      </c>
      <c r="O18" s="14" t="b">
        <f>IF(data[[#This Row],[Date]]&gt;MAX(data[Date])-750, TRUE, FALSE)</f>
        <v>0</v>
      </c>
      <c r="R18">
        <v>1.3049999999999999</v>
      </c>
    </row>
    <row r="19" spans="1:18">
      <c r="A19" s="4">
        <v>37422</v>
      </c>
      <c r="B19">
        <f>YEAR(data[[#This Row],[Date]])</f>
        <v>2002</v>
      </c>
      <c r="C19" s="6">
        <f t="shared" si="0"/>
        <v>0.02</v>
      </c>
      <c r="D19" s="7">
        <f t="shared" si="1"/>
        <v>-0.28999999999999998</v>
      </c>
      <c r="E19" s="7">
        <f t="shared" si="2"/>
        <v>0</v>
      </c>
      <c r="F19" s="9">
        <v>1.2200000000000001E-2</v>
      </c>
      <c r="G19" s="16">
        <v>0</v>
      </c>
      <c r="H19" s="8">
        <v>0</v>
      </c>
      <c r="I19" s="8">
        <v>0</v>
      </c>
      <c r="J19" s="8">
        <v>0</v>
      </c>
      <c r="K19" s="8">
        <v>0</v>
      </c>
      <c r="L1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4.5999999999999999E-3</v>
      </c>
      <c r="M1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7.0537599999999992E-3</v>
      </c>
      <c r="N19" s="14" t="str">
        <f>IF(data[[#This Row],[Weighted_Avg]]&lt;&gt;"", IFERROR(AVERAGE(M7,#REF!,#REF!), ""), "")</f>
        <v/>
      </c>
      <c r="O19" s="14" t="b">
        <f>IF(data[[#This Row],[Date]]&gt;MAX(data[Date])-750, TRUE, FALSE)</f>
        <v>0</v>
      </c>
      <c r="R19">
        <v>1.286</v>
      </c>
    </row>
    <row r="20" spans="1:18">
      <c r="A20" s="4">
        <v>37452</v>
      </c>
      <c r="B20">
        <f>YEAR(data[[#This Row],[Date]])</f>
        <v>2002</v>
      </c>
      <c r="C20" s="6">
        <f t="shared" si="0"/>
        <v>0.02</v>
      </c>
      <c r="D20" s="7">
        <f t="shared" si="1"/>
        <v>-0.28999999999999998</v>
      </c>
      <c r="E20" s="7">
        <f t="shared" si="2"/>
        <v>0</v>
      </c>
      <c r="F20" s="9">
        <v>1.2200000000000001E-2</v>
      </c>
      <c r="G20" s="16">
        <v>0</v>
      </c>
      <c r="H20" s="8">
        <v>0</v>
      </c>
      <c r="I20" s="8">
        <v>0</v>
      </c>
      <c r="J20" s="8">
        <v>0</v>
      </c>
      <c r="K20" s="8">
        <v>0</v>
      </c>
      <c r="L2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4.5999999999999999E-3</v>
      </c>
      <c r="M2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7.0537599999999992E-3</v>
      </c>
      <c r="N20" s="14" t="str">
        <f>IF(data[[#This Row],[Weighted_Avg]]&lt;&gt;"", IFERROR(AVERAGE(M8,#REF!,#REF!), ""), "")</f>
        <v/>
      </c>
      <c r="O20" s="14" t="b">
        <f>IF(data[[#This Row],[Date]]&gt;MAX(data[Date])-750, TRUE, FALSE)</f>
        <v>0</v>
      </c>
      <c r="R20">
        <v>1.2989999999999999</v>
      </c>
    </row>
    <row r="21" spans="1:18">
      <c r="A21" s="4">
        <v>37483</v>
      </c>
      <c r="B21">
        <f>YEAR(data[[#This Row],[Date]])</f>
        <v>2002</v>
      </c>
      <c r="C21" s="6">
        <f t="shared" si="0"/>
        <v>0.01</v>
      </c>
      <c r="D21" s="7">
        <f t="shared" si="1"/>
        <v>-0.3</v>
      </c>
      <c r="E21" s="7">
        <f t="shared" si="2"/>
        <v>0</v>
      </c>
      <c r="F21" s="9">
        <v>1.2200000000000001E-2</v>
      </c>
      <c r="G21" s="16">
        <v>0</v>
      </c>
      <c r="H21" s="8">
        <v>0</v>
      </c>
      <c r="I21" s="8">
        <v>0</v>
      </c>
      <c r="J21" s="8">
        <v>0</v>
      </c>
      <c r="K21" s="8">
        <v>0</v>
      </c>
      <c r="L2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3.1714285714285716E-3</v>
      </c>
      <c r="M2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4.3247599999999995E-3</v>
      </c>
      <c r="N21" s="14" t="str">
        <f>IF(data[[#This Row],[Weighted_Avg]]&lt;&gt;"", IFERROR(AVERAGE(M9,#REF!,#REF!), ""), "")</f>
        <v/>
      </c>
      <c r="O21" s="14" t="b">
        <f>IF(data[[#This Row],[Date]]&gt;MAX(data[Date])-750, TRUE, FALSE)</f>
        <v>0</v>
      </c>
      <c r="R21">
        <v>1.3280000000000001</v>
      </c>
    </row>
    <row r="22" spans="1:18">
      <c r="A22" s="4">
        <v>37514</v>
      </c>
      <c r="B22">
        <f>YEAR(data[[#This Row],[Date]])</f>
        <v>2002</v>
      </c>
      <c r="C22" s="6">
        <f t="shared" si="0"/>
        <v>0.02</v>
      </c>
      <c r="D22" s="7">
        <f t="shared" si="1"/>
        <v>-0.3</v>
      </c>
      <c r="E22" s="7">
        <f t="shared" si="2"/>
        <v>0</v>
      </c>
      <c r="F22" s="9">
        <v>1.2200000000000001E-2</v>
      </c>
      <c r="G22" s="16">
        <v>0</v>
      </c>
      <c r="H22" s="8">
        <v>0</v>
      </c>
      <c r="I22" s="8">
        <v>0</v>
      </c>
      <c r="J22" s="8">
        <v>0</v>
      </c>
      <c r="K22" s="8">
        <v>0</v>
      </c>
      <c r="L2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4.5999999999999999E-3</v>
      </c>
      <c r="M2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7.0537599999999992E-3</v>
      </c>
      <c r="N22" s="14" t="str">
        <f>IF(data[[#This Row],[Weighted_Avg]]&lt;&gt;"", IFERROR(AVERAGE(M10,#REF!,#REF!), ""), "")</f>
        <v/>
      </c>
      <c r="O22" s="14" t="b">
        <f>IF(data[[#This Row],[Date]]&gt;MAX(data[Date])-750, TRUE, FALSE)</f>
        <v>0</v>
      </c>
      <c r="R22">
        <v>1.411</v>
      </c>
    </row>
    <row r="23" spans="1:18">
      <c r="A23" s="4">
        <v>37544</v>
      </c>
      <c r="B23">
        <f>YEAR(data[[#This Row],[Date]])</f>
        <v>2002</v>
      </c>
      <c r="C23" s="6">
        <f t="shared" si="0"/>
        <v>0.02</v>
      </c>
      <c r="D23" s="7">
        <f t="shared" si="1"/>
        <v>-0.28999999999999998</v>
      </c>
      <c r="E23" s="7">
        <f t="shared" si="2"/>
        <v>0</v>
      </c>
      <c r="F23" s="9">
        <v>1.83E-2</v>
      </c>
      <c r="G23" s="16">
        <v>0</v>
      </c>
      <c r="H23" s="8">
        <v>0</v>
      </c>
      <c r="I23" s="8">
        <v>0</v>
      </c>
      <c r="J23" s="8">
        <v>0</v>
      </c>
      <c r="K23" s="8">
        <v>0</v>
      </c>
      <c r="L2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5.4714285714285715E-3</v>
      </c>
      <c r="M2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7.85164E-3</v>
      </c>
      <c r="N23" s="14" t="str">
        <f>IF(data[[#This Row],[Weighted_Avg]]&lt;&gt;"", IFERROR(AVERAGE(M11,#REF!,#REF!), ""), "")</f>
        <v/>
      </c>
      <c r="O23" s="14" t="b">
        <f>IF(data[[#This Row],[Date]]&gt;MAX(data[Date])-750, TRUE, FALSE)</f>
        <v>0</v>
      </c>
      <c r="R23">
        <v>1.462</v>
      </c>
    </row>
    <row r="24" spans="1:18">
      <c r="A24" s="4">
        <v>37575</v>
      </c>
      <c r="B24">
        <f>YEAR(data[[#This Row],[Date]])</f>
        <v>2002</v>
      </c>
      <c r="C24" s="6">
        <f t="shared" si="0"/>
        <v>0.05</v>
      </c>
      <c r="D24" s="7">
        <f t="shared" si="1"/>
        <v>-0.27</v>
      </c>
      <c r="E24" s="7">
        <f t="shared" si="2"/>
        <v>0</v>
      </c>
      <c r="F24" s="9">
        <v>3.6600000000000001E-2</v>
      </c>
      <c r="G24" s="16">
        <v>0</v>
      </c>
      <c r="H24" s="8">
        <v>0</v>
      </c>
      <c r="I24" s="8">
        <v>0</v>
      </c>
      <c r="J24" s="8">
        <v>0</v>
      </c>
      <c r="K24" s="8">
        <v>0</v>
      </c>
      <c r="L2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2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1.8432279999999999E-2</v>
      </c>
      <c r="N24" s="14" t="str">
        <f>IF(data[[#This Row],[Weighted_Avg]]&lt;&gt;"", IFERROR(AVERAGE(M12,#REF!,#REF!), ""), "")</f>
        <v/>
      </c>
      <c r="O24" s="14" t="b">
        <f>IF(data[[#This Row],[Date]]&gt;MAX(data[Date])-750, TRUE, FALSE)</f>
        <v>0</v>
      </c>
      <c r="R24">
        <v>1.42</v>
      </c>
    </row>
    <row r="25" spans="1:18">
      <c r="A25" s="4">
        <v>37605</v>
      </c>
      <c r="B25">
        <f>YEAR(data[[#This Row],[Date]])</f>
        <v>2002</v>
      </c>
      <c r="C25" s="6">
        <f t="shared" si="0"/>
        <v>0.06</v>
      </c>
      <c r="D25" s="7">
        <f t="shared" si="1"/>
        <v>-0.25</v>
      </c>
      <c r="E25" s="7">
        <f t="shared" si="2"/>
        <v>0</v>
      </c>
      <c r="F25" s="9">
        <v>4.8800000000000003E-2</v>
      </c>
      <c r="G25" s="16">
        <v>0</v>
      </c>
      <c r="H25" s="8">
        <v>0</v>
      </c>
      <c r="I25" s="8">
        <v>0</v>
      </c>
      <c r="J25" s="8">
        <v>0</v>
      </c>
      <c r="K25" s="8">
        <v>0</v>
      </c>
      <c r="L2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2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2.2757039999999999E-2</v>
      </c>
      <c r="N25" s="14" t="str">
        <f>IF(data[[#This Row],[Weighted_Avg]]&lt;&gt;"", IFERROR(AVERAGE(M13,M1,#REF!), ""), "")</f>
        <v/>
      </c>
      <c r="O25" s="14" t="b">
        <f>IF(data[[#This Row],[Date]]&gt;MAX(data[Date])-750, TRUE, FALSE)</f>
        <v>0</v>
      </c>
      <c r="R25">
        <v>1.429</v>
      </c>
    </row>
    <row r="26" spans="1:18">
      <c r="A26" s="4">
        <v>37636</v>
      </c>
      <c r="B26">
        <f>YEAR(data[[#This Row],[Date]])</f>
        <v>2003</v>
      </c>
      <c r="C26" s="6">
        <f t="shared" si="0"/>
        <v>0.05</v>
      </c>
      <c r="D26" s="7">
        <f t="shared" si="1"/>
        <v>-0.26</v>
      </c>
      <c r="E26" s="7">
        <f t="shared" si="2"/>
        <v>0</v>
      </c>
      <c r="F26" s="9">
        <v>3.6600000000000001E-2</v>
      </c>
      <c r="G26" s="16">
        <v>0</v>
      </c>
      <c r="H26" s="8">
        <v>0</v>
      </c>
      <c r="I26" s="8">
        <v>0</v>
      </c>
      <c r="J26" s="8">
        <v>0</v>
      </c>
      <c r="K26" s="8">
        <v>0</v>
      </c>
      <c r="L2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2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1.883048E-2</v>
      </c>
      <c r="N26" s="14" t="str">
        <f>IF(data[[#This Row],[Weighted_Avg]]&lt;&gt;"", IFERROR(AVERAGE(M14,M2,#REF!), ""), "")</f>
        <v/>
      </c>
      <c r="O26" s="14" t="b">
        <f>IF(data[[#This Row],[Date]]&gt;MAX(data[Date])-750, TRUE, FALSE)</f>
        <v>0</v>
      </c>
      <c r="R26">
        <v>1.488</v>
      </c>
    </row>
    <row r="27" spans="1:18">
      <c r="A27" s="4">
        <v>37667</v>
      </c>
      <c r="B27">
        <f>YEAR(data[[#This Row],[Date]])</f>
        <v>2003</v>
      </c>
      <c r="C27" s="6">
        <f t="shared" si="0"/>
        <v>0.05</v>
      </c>
      <c r="D27" s="7">
        <f t="shared" si="1"/>
        <v>-0.26</v>
      </c>
      <c r="E27" s="7">
        <f t="shared" si="2"/>
        <v>0</v>
      </c>
      <c r="F27" s="9">
        <v>3.6600000000000001E-2</v>
      </c>
      <c r="G27" s="16">
        <v>0</v>
      </c>
      <c r="H27" s="8">
        <v>0</v>
      </c>
      <c r="I27" s="8">
        <v>0</v>
      </c>
      <c r="J27" s="8">
        <v>0</v>
      </c>
      <c r="K27" s="8">
        <v>0</v>
      </c>
      <c r="L2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2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1.883048E-2</v>
      </c>
      <c r="N27" s="14" t="str">
        <f>IF(data[[#This Row],[Weighted_Avg]]&lt;&gt;"", IFERROR(AVERAGE(M15,M3,#REF!), ""), "")</f>
        <v/>
      </c>
      <c r="O27" s="14" t="b">
        <f>IF(data[[#This Row],[Date]]&gt;MAX(data[Date])-750, TRUE, FALSE)</f>
        <v>0</v>
      </c>
      <c r="R27">
        <v>1.6539999999999999</v>
      </c>
    </row>
    <row r="28" spans="1:18">
      <c r="A28" s="4">
        <v>37695</v>
      </c>
      <c r="B28">
        <f>YEAR(data[[#This Row],[Date]])</f>
        <v>2003</v>
      </c>
      <c r="C28" s="6">
        <f t="shared" si="0"/>
        <v>0.06</v>
      </c>
      <c r="D28" s="7">
        <f t="shared" si="1"/>
        <v>-0.25</v>
      </c>
      <c r="E28" s="7">
        <f t="shared" si="2"/>
        <v>0</v>
      </c>
      <c r="F28" s="9">
        <v>4.8800000000000003E-2</v>
      </c>
      <c r="G28" s="16">
        <v>0</v>
      </c>
      <c r="H28" s="8">
        <v>0</v>
      </c>
      <c r="I28" s="8">
        <v>0</v>
      </c>
      <c r="J28" s="8">
        <v>0</v>
      </c>
      <c r="K28" s="8">
        <v>0</v>
      </c>
      <c r="L2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2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28" s="14" t="str">
        <f>IF(data[[#This Row],[Weighted_Avg]]&lt;&gt;"", IFERROR(AVERAGE(M16,M4,#REF!), ""), "")</f>
        <v/>
      </c>
      <c r="O28" s="14" t="b">
        <f>IF(data[[#This Row],[Date]]&gt;MAX(data[Date])-750, TRUE, FALSE)</f>
        <v>0</v>
      </c>
      <c r="R28">
        <v>1.708</v>
      </c>
    </row>
    <row r="29" spans="1:18">
      <c r="A29" s="4">
        <v>37726</v>
      </c>
      <c r="B29">
        <f>YEAR(data[[#This Row],[Date]])</f>
        <v>2003</v>
      </c>
      <c r="C29" s="6">
        <f t="shared" si="0"/>
        <v>0.11</v>
      </c>
      <c r="D29" s="7">
        <f t="shared" si="1"/>
        <v>-0.21</v>
      </c>
      <c r="E29" s="7">
        <f t="shared" si="2"/>
        <v>0</v>
      </c>
      <c r="F29" s="9">
        <v>8.5400000000000004E-2</v>
      </c>
      <c r="G29" s="16">
        <v>0</v>
      </c>
      <c r="H29" s="8">
        <v>0</v>
      </c>
      <c r="I29" s="8">
        <v>0</v>
      </c>
      <c r="J29" s="8">
        <v>0</v>
      </c>
      <c r="K29" s="8">
        <v>0</v>
      </c>
      <c r="L2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2.7914285714285718E-2</v>
      </c>
      <c r="M2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4.2075120000000001E-2</v>
      </c>
      <c r="N29" s="14" t="str">
        <f>IF(data[[#This Row],[Weighted_Avg]]&lt;&gt;"", IFERROR(AVERAGE(M17,M5,#REF!), ""), "")</f>
        <v/>
      </c>
      <c r="O29" s="14" t="b">
        <f>IF(data[[#This Row],[Date]]&gt;MAX(data[Date])-750, TRUE, FALSE)</f>
        <v>0</v>
      </c>
      <c r="R29">
        <v>1.5329999999999999</v>
      </c>
    </row>
    <row r="30" spans="1:18">
      <c r="A30" s="4">
        <v>37756</v>
      </c>
      <c r="B30">
        <f>YEAR(data[[#This Row],[Date]])</f>
        <v>2003</v>
      </c>
      <c r="C30" s="6">
        <f t="shared" si="0"/>
        <v>0.12</v>
      </c>
      <c r="D30" s="7">
        <f t="shared" si="1"/>
        <v>-0.19</v>
      </c>
      <c r="E30" s="7">
        <f t="shared" si="2"/>
        <v>0</v>
      </c>
      <c r="F30" s="9">
        <v>9.7600000000000006E-2</v>
      </c>
      <c r="G30" s="16">
        <v>0</v>
      </c>
      <c r="H30" s="8">
        <v>0</v>
      </c>
      <c r="I30" s="8">
        <v>0</v>
      </c>
      <c r="J30" s="8">
        <v>0</v>
      </c>
      <c r="K30" s="8">
        <v>0</v>
      </c>
      <c r="L3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3.1085714285714289E-2</v>
      </c>
      <c r="M3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4.6489279999999994E-2</v>
      </c>
      <c r="N30" s="14" t="str">
        <f>IF(data[[#This Row],[Weighted_Avg]]&lt;&gt;"", IFERROR(AVERAGE(M18,M6,#REF!), ""), "")</f>
        <v/>
      </c>
      <c r="O30" s="14" t="b">
        <f>IF(data[[#This Row],[Date]]&gt;MAX(data[Date])-750, TRUE, FALSE)</f>
        <v>0</v>
      </c>
      <c r="R30">
        <v>1.4510000000000001</v>
      </c>
    </row>
    <row r="31" spans="1:18">
      <c r="A31" s="4">
        <v>37787</v>
      </c>
      <c r="B31">
        <f>YEAR(data[[#This Row],[Date]])</f>
        <v>2003</v>
      </c>
      <c r="C31" s="6">
        <f t="shared" si="0"/>
        <v>0.08</v>
      </c>
      <c r="D31" s="7">
        <f t="shared" si="1"/>
        <v>-0.24</v>
      </c>
      <c r="E31" s="7">
        <f t="shared" si="2"/>
        <v>0</v>
      </c>
      <c r="F31" s="9">
        <v>6.0999999999999999E-2</v>
      </c>
      <c r="G31" s="16">
        <v>0</v>
      </c>
      <c r="H31" s="8">
        <v>0</v>
      </c>
      <c r="I31" s="8">
        <v>0</v>
      </c>
      <c r="J31" s="8">
        <v>0</v>
      </c>
      <c r="K31" s="8">
        <v>0</v>
      </c>
      <c r="L3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2.0142857142857146E-2</v>
      </c>
      <c r="M3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3.0452800000000002E-2</v>
      </c>
      <c r="N31" s="14" t="str">
        <f>IF(data[[#This Row],[Weighted_Avg]]&lt;&gt;"", IFERROR(AVERAGE(M19,M7,#REF!), ""), "")</f>
        <v/>
      </c>
      <c r="O31" s="14" t="b">
        <f>IF(data[[#This Row],[Date]]&gt;MAX(data[Date])-750, TRUE, FALSE)</f>
        <v>0</v>
      </c>
      <c r="R31">
        <v>1.4239999999999999</v>
      </c>
    </row>
    <row r="32" spans="1:18">
      <c r="A32" s="4">
        <v>37817</v>
      </c>
      <c r="B32">
        <f>YEAR(data[[#This Row],[Date]])</f>
        <v>2003</v>
      </c>
      <c r="C32" s="6">
        <f t="shared" si="0"/>
        <v>0.06</v>
      </c>
      <c r="D32" s="7">
        <f t="shared" si="1"/>
        <v>-0.26</v>
      </c>
      <c r="E32" s="7">
        <f t="shared" si="2"/>
        <v>0</v>
      </c>
      <c r="F32" s="9">
        <v>4.2700000000000002E-2</v>
      </c>
      <c r="G32" s="16">
        <v>0</v>
      </c>
      <c r="H32" s="8">
        <v>0</v>
      </c>
      <c r="I32" s="8">
        <v>0</v>
      </c>
      <c r="J32" s="8">
        <v>0</v>
      </c>
      <c r="K32" s="8">
        <v>0</v>
      </c>
      <c r="L3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1.4671428571428571E-2</v>
      </c>
      <c r="M3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2.2434559999999999E-2</v>
      </c>
      <c r="N32" s="14" t="str">
        <f>IF(data[[#This Row],[Weighted_Avg]]&lt;&gt;"", IFERROR(AVERAGE(M20,M8,#REF!), ""), "")</f>
        <v/>
      </c>
      <c r="O32" s="14" t="b">
        <f>IF(data[[#This Row],[Date]]&gt;MAX(data[Date])-750, TRUE, FALSE)</f>
        <v>0</v>
      </c>
      <c r="R32">
        <v>1.4350000000000001</v>
      </c>
    </row>
    <row r="33" spans="1:18">
      <c r="A33" s="4">
        <v>37848</v>
      </c>
      <c r="B33">
        <f>YEAR(data[[#This Row],[Date]])</f>
        <v>2003</v>
      </c>
      <c r="C33" s="6">
        <f t="shared" si="0"/>
        <v>0.05</v>
      </c>
      <c r="D33" s="7">
        <f t="shared" si="1"/>
        <v>-0.26</v>
      </c>
      <c r="E33" s="7">
        <f t="shared" si="2"/>
        <v>0</v>
      </c>
      <c r="F33" s="9">
        <v>3.6600000000000001E-2</v>
      </c>
      <c r="G33" s="16">
        <v>0</v>
      </c>
      <c r="H33" s="8">
        <v>0</v>
      </c>
      <c r="I33" s="8">
        <v>0</v>
      </c>
      <c r="J33" s="8">
        <v>0</v>
      </c>
      <c r="K33" s="8">
        <v>0</v>
      </c>
      <c r="L3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1.2371428571428573E-2</v>
      </c>
      <c r="M3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1.883048E-2</v>
      </c>
      <c r="N33" s="14" t="str">
        <f>IF(data[[#This Row],[Weighted_Avg]]&lt;&gt;"", IFERROR(AVERAGE(M21,M9,#REF!), ""), "")</f>
        <v/>
      </c>
      <c r="O33" s="14" t="b">
        <f>IF(data[[#This Row],[Date]]&gt;MAX(data[Date])-750, TRUE, FALSE)</f>
        <v>0</v>
      </c>
      <c r="R33">
        <v>1.4870000000000001</v>
      </c>
    </row>
    <row r="34" spans="1:18">
      <c r="A34" s="4">
        <v>37879</v>
      </c>
      <c r="B34">
        <f>YEAR(data[[#This Row],[Date]])</f>
        <v>2003</v>
      </c>
      <c r="C34" s="6">
        <f t="shared" si="0"/>
        <v>0.05</v>
      </c>
      <c r="D34" s="7">
        <f t="shared" si="1"/>
        <v>-0.26</v>
      </c>
      <c r="E34" s="7">
        <f t="shared" si="2"/>
        <v>0</v>
      </c>
      <c r="F34" s="9">
        <v>4.2700000000000002E-2</v>
      </c>
      <c r="G34" s="16">
        <v>0</v>
      </c>
      <c r="H34" s="8">
        <v>0</v>
      </c>
      <c r="I34" s="8">
        <v>0</v>
      </c>
      <c r="J34" s="8">
        <v>0</v>
      </c>
      <c r="K34" s="8">
        <v>0</v>
      </c>
      <c r="L3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1.3242857142857143E-2</v>
      </c>
      <c r="M3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1.9640560000000001E-2</v>
      </c>
      <c r="N34" s="14" t="str">
        <f>IF(data[[#This Row],[Weighted_Avg]]&lt;&gt;"", IFERROR(AVERAGE(M22,M10,#REF!), ""), "")</f>
        <v/>
      </c>
      <c r="O34" s="14" t="b">
        <f>IF(data[[#This Row],[Date]]&gt;MAX(data[Date])-750, TRUE, FALSE)</f>
        <v>0</v>
      </c>
      <c r="R34">
        <v>1.4670000000000001</v>
      </c>
    </row>
    <row r="35" spans="1:18">
      <c r="A35" s="4">
        <v>37909</v>
      </c>
      <c r="B35">
        <f>YEAR(data[[#This Row],[Date]])</f>
        <v>2003</v>
      </c>
      <c r="C35" s="6">
        <f t="shared" si="0"/>
        <v>0.06</v>
      </c>
      <c r="D35" s="7">
        <f t="shared" si="1"/>
        <v>-0.25</v>
      </c>
      <c r="E35" s="7">
        <f t="shared" si="2"/>
        <v>0</v>
      </c>
      <c r="F35" s="9">
        <v>4.8800000000000003E-2</v>
      </c>
      <c r="G35" s="16">
        <v>0</v>
      </c>
      <c r="H35" s="8">
        <v>0</v>
      </c>
      <c r="I35" s="8">
        <v>0</v>
      </c>
      <c r="J35" s="8">
        <v>0</v>
      </c>
      <c r="K35" s="8">
        <v>0</v>
      </c>
      <c r="L3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35" s="14" t="str">
        <f>IF(data[[#This Row],[Weighted_Avg]]&lt;&gt;"", IFERROR(AVERAGE(M23,M11,#REF!), ""), "")</f>
        <v/>
      </c>
      <c r="O35" s="14" t="b">
        <f>IF(data[[#This Row],[Date]]&gt;MAX(data[Date])-750, TRUE, FALSE)</f>
        <v>0</v>
      </c>
      <c r="R35">
        <v>1.4810000000000001</v>
      </c>
    </row>
    <row r="36" spans="1:18">
      <c r="A36" s="4">
        <v>37940</v>
      </c>
      <c r="B36">
        <f>YEAR(data[[#This Row],[Date]])</f>
        <v>2003</v>
      </c>
      <c r="C36" s="6">
        <f t="shared" si="0"/>
        <v>0.06</v>
      </c>
      <c r="D36" s="7">
        <f t="shared" si="1"/>
        <v>-0.25</v>
      </c>
      <c r="E36" s="7">
        <f t="shared" si="2"/>
        <v>0</v>
      </c>
      <c r="F36" s="9">
        <v>4.8800000000000003E-2</v>
      </c>
      <c r="G36" s="16">
        <v>0</v>
      </c>
      <c r="H36" s="8">
        <v>0</v>
      </c>
      <c r="I36" s="8">
        <v>0</v>
      </c>
      <c r="J36" s="8">
        <v>0</v>
      </c>
      <c r="K36" s="8">
        <v>0</v>
      </c>
      <c r="L3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36" s="14" t="str">
        <f>IF(data[[#This Row],[Weighted_Avg]]&lt;&gt;"", IFERROR(AVERAGE(M24,M12,#REF!), ""), "")</f>
        <v/>
      </c>
      <c r="O36" s="14" t="b">
        <f>IF(data[[#This Row],[Date]]&gt;MAX(data[Date])-750, TRUE, FALSE)</f>
        <v>0</v>
      </c>
      <c r="R36">
        <v>1.482</v>
      </c>
    </row>
    <row r="37" spans="1:18">
      <c r="A37" s="4">
        <v>37970</v>
      </c>
      <c r="B37">
        <f>YEAR(data[[#This Row],[Date]])</f>
        <v>2003</v>
      </c>
      <c r="C37" s="6">
        <f t="shared" si="0"/>
        <v>0.06</v>
      </c>
      <c r="D37" s="7">
        <f t="shared" si="1"/>
        <v>-0.25</v>
      </c>
      <c r="E37" s="7">
        <f t="shared" si="2"/>
        <v>0</v>
      </c>
      <c r="F37" s="9">
        <v>4.8800000000000003E-2</v>
      </c>
      <c r="G37" s="16">
        <v>0</v>
      </c>
      <c r="H37" s="8">
        <v>0</v>
      </c>
      <c r="I37" s="8">
        <v>0</v>
      </c>
      <c r="J37" s="8">
        <v>0</v>
      </c>
      <c r="K37" s="8">
        <v>0</v>
      </c>
      <c r="L3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2.3244639999999997E-2</v>
      </c>
      <c r="N37" s="14">
        <f>IF(data[[#This Row],[Weighted_Avg]]&lt;&gt;"", IFERROR(AVERAGE(M25,M13,M1), ""), "")</f>
        <v>2.2757039999999999E-2</v>
      </c>
      <c r="O37" s="14" t="b">
        <f>IF(data[[#This Row],[Date]]&gt;MAX(data[Date])-750, TRUE, FALSE)</f>
        <v>0</v>
      </c>
      <c r="R37">
        <v>1.49</v>
      </c>
    </row>
    <row r="38" spans="1:18">
      <c r="A38" s="4">
        <v>38001</v>
      </c>
      <c r="B38">
        <f>YEAR(data[[#This Row],[Date]])</f>
        <v>2004</v>
      </c>
      <c r="C38" s="6">
        <f t="shared" si="0"/>
        <v>0.06</v>
      </c>
      <c r="D38" s="7">
        <f t="shared" si="1"/>
        <v>-0.25</v>
      </c>
      <c r="E38" s="7">
        <f t="shared" si="2"/>
        <v>0</v>
      </c>
      <c r="F38" s="9">
        <v>4.8800000000000003E-2</v>
      </c>
      <c r="G38" s="16">
        <v>0</v>
      </c>
      <c r="H38" s="8">
        <v>0</v>
      </c>
      <c r="I38" s="8">
        <v>0</v>
      </c>
      <c r="J38" s="8">
        <v>0</v>
      </c>
      <c r="K38" s="8">
        <v>0</v>
      </c>
      <c r="L3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1.5542857142857145E-2</v>
      </c>
      <c r="M3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2.485768E-2</v>
      </c>
      <c r="N38" s="14">
        <f>IF(data[[#This Row],[Weighted_Avg]]&lt;&gt;"", IFERROR(AVERAGE(M26,M14,M2), ""), "")</f>
        <v>1.117868E-2</v>
      </c>
      <c r="O38" s="14" t="b">
        <f>IF(data[[#This Row],[Date]]&gt;MAX(data[Date])-750, TRUE, FALSE)</f>
        <v>0</v>
      </c>
      <c r="R38">
        <v>1.5509999999999999</v>
      </c>
    </row>
    <row r="39" spans="1:18">
      <c r="A39" s="4">
        <v>38032</v>
      </c>
      <c r="B39">
        <f>YEAR(data[[#This Row],[Date]])</f>
        <v>2004</v>
      </c>
      <c r="C39" s="6">
        <f t="shared" si="0"/>
        <v>7.0000000000000007E-2</v>
      </c>
      <c r="D39" s="7">
        <f t="shared" si="1"/>
        <v>-0.25</v>
      </c>
      <c r="E39" s="7">
        <f t="shared" si="2"/>
        <v>0</v>
      </c>
      <c r="F39" s="9">
        <v>5.4899999999999997E-2</v>
      </c>
      <c r="G39" s="16">
        <v>0</v>
      </c>
      <c r="H39" s="8">
        <v>0</v>
      </c>
      <c r="I39" s="8">
        <v>0</v>
      </c>
      <c r="J39" s="8">
        <v>0</v>
      </c>
      <c r="K39" s="8">
        <v>0</v>
      </c>
      <c r="L3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1.7842857142857143E-2</v>
      </c>
      <c r="M3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2.8693390000000003E-2</v>
      </c>
      <c r="N39" s="14">
        <f>IF(data[[#This Row],[Weighted_Avg]]&lt;&gt;"", IFERROR(AVERAGE(M27,M15,M3), ""), "")</f>
        <v>9.4152400000000001E-3</v>
      </c>
      <c r="O39" s="14" t="b">
        <f>IF(data[[#This Row],[Date]]&gt;MAX(data[Date])-750, TRUE, FALSE)</f>
        <v>0</v>
      </c>
      <c r="R39">
        <v>1.5820000000000001</v>
      </c>
    </row>
    <row r="40" spans="1:18">
      <c r="A40" s="4">
        <v>38061</v>
      </c>
      <c r="B40">
        <f>YEAR(data[[#This Row],[Date]])</f>
        <v>2004</v>
      </c>
      <c r="C40" s="6">
        <f t="shared" si="0"/>
        <v>0.08</v>
      </c>
      <c r="D40" s="7">
        <f t="shared" si="1"/>
        <v>-0.23</v>
      </c>
      <c r="E40" s="7">
        <f t="shared" si="2"/>
        <v>0</v>
      </c>
      <c r="F40" s="9">
        <v>6.7100000000000007E-2</v>
      </c>
      <c r="G40" s="16">
        <v>0</v>
      </c>
      <c r="H40" s="8">
        <v>0</v>
      </c>
      <c r="I40" s="8">
        <v>0</v>
      </c>
      <c r="J40" s="8">
        <v>0</v>
      </c>
      <c r="K40" s="8">
        <v>0</v>
      </c>
      <c r="L4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2.1014285714285715E-2</v>
      </c>
      <c r="M4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3.3450809999999997E-2</v>
      </c>
      <c r="N40" s="14">
        <f>IF(data[[#This Row],[Weighted_Avg]]&lt;&gt;"", IFERROR(AVERAGE(M28,M16,M4), ""), "")</f>
        <v>1.1622319999999998E-2</v>
      </c>
      <c r="O40" s="14" t="b">
        <f>IF(data[[#This Row],[Date]]&gt;MAX(data[Date])-750, TRUE, FALSE)</f>
        <v>0</v>
      </c>
      <c r="R40">
        <v>1.629</v>
      </c>
    </row>
    <row r="41" spans="1:18">
      <c r="A41" s="4">
        <v>38092</v>
      </c>
      <c r="B41">
        <f>YEAR(data[[#This Row],[Date]])</f>
        <v>2004</v>
      </c>
      <c r="C41" s="6">
        <f t="shared" si="0"/>
        <v>0.09</v>
      </c>
      <c r="D41" s="7">
        <f t="shared" si="1"/>
        <v>-0.22</v>
      </c>
      <c r="E41" s="7">
        <f t="shared" si="2"/>
        <v>0</v>
      </c>
      <c r="F41" s="9">
        <v>7.3200000000000001E-2</v>
      </c>
      <c r="G41" s="16">
        <v>0</v>
      </c>
      <c r="H41" s="8">
        <v>0</v>
      </c>
      <c r="I41" s="8">
        <v>0</v>
      </c>
      <c r="J41" s="8">
        <v>0</v>
      </c>
      <c r="K41" s="8">
        <v>0</v>
      </c>
      <c r="L4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2.3314285714285714E-2</v>
      </c>
      <c r="M4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3.7286520000000004E-2</v>
      </c>
      <c r="N41" s="14">
        <f>IF(data[[#This Row],[Weighted_Avg]]&lt;&gt;"", IFERROR(AVERAGE(M29,M17,M5), ""), "")</f>
        <v>2.103756E-2</v>
      </c>
      <c r="O41" s="14" t="b">
        <f>IF(data[[#This Row],[Date]]&gt;MAX(data[Date])-750, TRUE, FALSE)</f>
        <v>0</v>
      </c>
      <c r="R41">
        <v>1.6919999999999999</v>
      </c>
    </row>
    <row r="42" spans="1:18">
      <c r="A42" s="4">
        <v>38122</v>
      </c>
      <c r="B42">
        <f>YEAR(data[[#This Row],[Date]])</f>
        <v>2004</v>
      </c>
      <c r="C42" s="6">
        <f t="shared" si="0"/>
        <v>0.1</v>
      </c>
      <c r="D42" s="7">
        <f t="shared" si="1"/>
        <v>-0.21</v>
      </c>
      <c r="E42" s="7">
        <f t="shared" si="2"/>
        <v>0</v>
      </c>
      <c r="F42" s="9">
        <v>7.9299999999999995E-2</v>
      </c>
      <c r="G42" s="16">
        <v>0</v>
      </c>
      <c r="H42" s="8">
        <v>0</v>
      </c>
      <c r="I42" s="8">
        <v>0</v>
      </c>
      <c r="J42" s="8">
        <v>0</v>
      </c>
      <c r="K42" s="8">
        <v>0</v>
      </c>
      <c r="L4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2.5614285714285718E-2</v>
      </c>
      <c r="M4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4.1122229999999996E-2</v>
      </c>
      <c r="N42" s="14">
        <f>IF(data[[#This Row],[Weighted_Avg]]&lt;&gt;"", IFERROR(AVERAGE(M30,M18,M6), ""), "")</f>
        <v>2.3244639999999997E-2</v>
      </c>
      <c r="O42" s="14" t="b">
        <f>IF(data[[#This Row],[Date]]&gt;MAX(data[Date])-750, TRUE, FALSE)</f>
        <v>0</v>
      </c>
      <c r="R42">
        <v>1.746</v>
      </c>
    </row>
    <row r="43" spans="1:18">
      <c r="A43" s="4">
        <v>38153</v>
      </c>
      <c r="B43">
        <f>YEAR(data[[#This Row],[Date]])</f>
        <v>2004</v>
      </c>
      <c r="C43" s="6">
        <f t="shared" si="0"/>
        <v>0.12</v>
      </c>
      <c r="D43" s="7">
        <f t="shared" si="1"/>
        <v>-0.2</v>
      </c>
      <c r="E43" s="7">
        <f t="shared" si="2"/>
        <v>0</v>
      </c>
      <c r="F43" s="9">
        <v>9.1499999999999998E-2</v>
      </c>
      <c r="G43" s="16">
        <v>0</v>
      </c>
      <c r="H43" s="8">
        <v>0</v>
      </c>
      <c r="I43" s="8">
        <v>0</v>
      </c>
      <c r="J43" s="8">
        <v>0</v>
      </c>
      <c r="K43" s="8">
        <v>0</v>
      </c>
      <c r="L4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3.0214285714285714E-2</v>
      </c>
      <c r="M4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4.8793650000000001E-2</v>
      </c>
      <c r="N43" s="14">
        <f>IF(data[[#This Row],[Weighted_Avg]]&lt;&gt;"", IFERROR(AVERAGE(M31,M19,M7), ""), "")</f>
        <v>1.8753280000000001E-2</v>
      </c>
      <c r="O43" s="14" t="b">
        <f>IF(data[[#This Row],[Date]]&gt;MAX(data[Date])-750, TRUE, FALSE)</f>
        <v>0</v>
      </c>
      <c r="R43">
        <v>1.7110000000000001</v>
      </c>
    </row>
    <row r="44" spans="1:18">
      <c r="A44" s="4">
        <v>38183</v>
      </c>
      <c r="B44">
        <f>YEAR(data[[#This Row],[Date]])</f>
        <v>2004</v>
      </c>
      <c r="C44" s="6">
        <f t="shared" si="0"/>
        <v>0.13</v>
      </c>
      <c r="D44" s="7">
        <f t="shared" si="1"/>
        <v>-0.18</v>
      </c>
      <c r="E44" s="7">
        <f t="shared" si="2"/>
        <v>0</v>
      </c>
      <c r="F44" s="9">
        <v>0.1037</v>
      </c>
      <c r="G44" s="16">
        <v>0</v>
      </c>
      <c r="H44" s="8">
        <v>0</v>
      </c>
      <c r="I44" s="8">
        <v>0</v>
      </c>
      <c r="J44" s="8">
        <v>0</v>
      </c>
      <c r="K44" s="8">
        <v>0</v>
      </c>
      <c r="L4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3.3385714285714289E-2</v>
      </c>
      <c r="M4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5.3551069999999999E-2</v>
      </c>
      <c r="N44" s="14">
        <f>IF(data[[#This Row],[Weighted_Avg]]&lt;&gt;"", IFERROR(AVERAGE(M32,M20,M8), ""), "")</f>
        <v>1.4744159999999999E-2</v>
      </c>
      <c r="O44" s="14" t="b">
        <f>IF(data[[#This Row],[Date]]&gt;MAX(data[Date])-750, TRUE, FALSE)</f>
        <v>0</v>
      </c>
      <c r="R44">
        <v>1.7390000000000001</v>
      </c>
    </row>
    <row r="45" spans="1:18">
      <c r="A45" s="4">
        <v>38214</v>
      </c>
      <c r="B45">
        <f>YEAR(data[[#This Row],[Date]])</f>
        <v>2004</v>
      </c>
      <c r="C45" s="6">
        <f t="shared" si="0"/>
        <v>0.12</v>
      </c>
      <c r="D45" s="7">
        <f t="shared" si="1"/>
        <v>-0.19</v>
      </c>
      <c r="E45" s="7">
        <f t="shared" si="2"/>
        <v>0</v>
      </c>
      <c r="F45" s="9">
        <v>9.7600000000000006E-2</v>
      </c>
      <c r="G45" s="16">
        <v>0</v>
      </c>
      <c r="H45" s="8">
        <v>0</v>
      </c>
      <c r="I45" s="8">
        <v>0</v>
      </c>
      <c r="J45" s="8">
        <v>0</v>
      </c>
      <c r="K45" s="8">
        <v>0</v>
      </c>
      <c r="L4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3.1085714285714289E-2</v>
      </c>
      <c r="M4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4.971536E-2</v>
      </c>
      <c r="N45" s="14">
        <f>IF(data[[#This Row],[Weighted_Avg]]&lt;&gt;"", IFERROR(AVERAGE(M33,M21,M9), ""), "")</f>
        <v>1.157762E-2</v>
      </c>
      <c r="O45" s="14" t="b">
        <f>IF(data[[#This Row],[Date]]&gt;MAX(data[Date])-750, TRUE, FALSE)</f>
        <v>0</v>
      </c>
      <c r="R45">
        <v>1.833</v>
      </c>
    </row>
    <row r="46" spans="1:18">
      <c r="A46" s="4">
        <v>38245</v>
      </c>
      <c r="B46">
        <f>YEAR(data[[#This Row],[Date]])</f>
        <v>2004</v>
      </c>
      <c r="C46" s="6">
        <f t="shared" si="0"/>
        <v>0.13</v>
      </c>
      <c r="D46" s="7">
        <f t="shared" si="1"/>
        <v>-0.19</v>
      </c>
      <c r="E46" s="7">
        <f t="shared" si="2"/>
        <v>0</v>
      </c>
      <c r="F46" s="9">
        <v>0.1037</v>
      </c>
      <c r="G46" s="16">
        <v>0</v>
      </c>
      <c r="H46" s="8">
        <v>0</v>
      </c>
      <c r="I46" s="8">
        <v>0</v>
      </c>
      <c r="J46" s="8">
        <v>0</v>
      </c>
      <c r="K46" s="8">
        <v>0</v>
      </c>
      <c r="L4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3.3385714285714289E-2</v>
      </c>
      <c r="M4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5.3551069999999999E-2</v>
      </c>
      <c r="N46" s="14">
        <f>IF(data[[#This Row],[Weighted_Avg]]&lt;&gt;"", IFERROR(AVERAGE(M34,M22,M10), ""), "")</f>
        <v>1.334716E-2</v>
      </c>
      <c r="O46" s="14" t="b">
        <f>IF(data[[#This Row],[Date]]&gt;MAX(data[Date])-750, TRUE, FALSE)</f>
        <v>0</v>
      </c>
      <c r="R46">
        <v>1.917</v>
      </c>
    </row>
    <row r="47" spans="1:18">
      <c r="A47" s="4">
        <v>38275</v>
      </c>
      <c r="B47">
        <f>YEAR(data[[#This Row],[Date]])</f>
        <v>2004</v>
      </c>
      <c r="C47" s="6">
        <f t="shared" si="0"/>
        <v>0.15</v>
      </c>
      <c r="D47" s="7">
        <f t="shared" si="1"/>
        <v>-0.16</v>
      </c>
      <c r="E47" s="7">
        <f t="shared" si="2"/>
        <v>0</v>
      </c>
      <c r="F47" s="9">
        <v>0.122</v>
      </c>
      <c r="G47" s="16">
        <v>0</v>
      </c>
      <c r="H47" s="8">
        <v>0</v>
      </c>
      <c r="I47" s="8">
        <v>0</v>
      </c>
      <c r="J47" s="8">
        <v>0</v>
      </c>
      <c r="K47" s="8">
        <v>0</v>
      </c>
      <c r="L4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3.8857142857142861E-2</v>
      </c>
      <c r="M4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6.2144199999999997E-2</v>
      </c>
      <c r="N47" s="14">
        <f>IF(data[[#This Row],[Weighted_Avg]]&lt;&gt;"", IFERROR(AVERAGE(M35,M23,M11), ""), "")</f>
        <v>1.5548139999999998E-2</v>
      </c>
      <c r="O47" s="14" t="b">
        <f>IF(data[[#This Row],[Date]]&gt;MAX(data[Date])-750, TRUE, FALSE)</f>
        <v>0</v>
      </c>
      <c r="R47">
        <v>2.1339999999999999</v>
      </c>
    </row>
    <row r="48" spans="1:18">
      <c r="A48" s="4">
        <v>38306</v>
      </c>
      <c r="B48">
        <f>YEAR(data[[#This Row],[Date]])</f>
        <v>2004</v>
      </c>
      <c r="C48" s="6">
        <f t="shared" si="0"/>
        <v>0.17</v>
      </c>
      <c r="D48" s="7">
        <f t="shared" si="1"/>
        <v>-0.14000000000000001</v>
      </c>
      <c r="E48" s="7">
        <f t="shared" si="2"/>
        <v>0</v>
      </c>
      <c r="F48" s="9">
        <v>0.14030000000000001</v>
      </c>
      <c r="G48" s="16">
        <v>0</v>
      </c>
      <c r="H48" s="8">
        <v>0</v>
      </c>
      <c r="I48" s="8">
        <v>0</v>
      </c>
      <c r="J48" s="8">
        <v>0</v>
      </c>
      <c r="K48" s="8">
        <v>0</v>
      </c>
      <c r="L4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4.4328571428571432E-2</v>
      </c>
      <c r="M4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7.0737330000000015E-2</v>
      </c>
      <c r="N48" s="14">
        <f>IF(data[[#This Row],[Weighted_Avg]]&lt;&gt;"", IFERROR(AVERAGE(M36,M24,M12), ""), "")</f>
        <v>2.0838459999999996E-2</v>
      </c>
      <c r="O48" s="14" t="b">
        <f>IF(data[[#This Row],[Date]]&gt;MAX(data[Date])-750, TRUE, FALSE)</f>
        <v>0</v>
      </c>
      <c r="R48">
        <v>2.1469999999999998</v>
      </c>
    </row>
    <row r="49" spans="1:18">
      <c r="A49" s="4">
        <v>38336</v>
      </c>
      <c r="B49">
        <f>YEAR(data[[#This Row],[Date]])</f>
        <v>2004</v>
      </c>
      <c r="C49" s="6">
        <f t="shared" si="0"/>
        <v>0.23</v>
      </c>
      <c r="D49" s="7">
        <f t="shared" si="1"/>
        <v>-0.09</v>
      </c>
      <c r="E49" s="7">
        <f t="shared" si="2"/>
        <v>0</v>
      </c>
      <c r="F49" s="9">
        <v>0.183</v>
      </c>
      <c r="G49" s="16">
        <v>0</v>
      </c>
      <c r="H49" s="8">
        <v>0.04</v>
      </c>
      <c r="I49" s="8">
        <v>0</v>
      </c>
      <c r="J49" s="8">
        <v>0</v>
      </c>
      <c r="K49" s="8">
        <v>0</v>
      </c>
      <c r="L4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6.471428571428571E-2</v>
      </c>
      <c r="M4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9.8289299999999996E-2</v>
      </c>
      <c r="N49" s="14">
        <f>IF(data[[#This Row],[Weighted_Avg]]&lt;&gt;"", IFERROR(AVERAGE(M37,M25,M13), ""), "")</f>
        <v>2.3000839999999998E-2</v>
      </c>
      <c r="O49" s="14" t="b">
        <f>IF(data[[#This Row],[Date]]&gt;MAX(data[Date])-750, TRUE, FALSE)</f>
        <v>0</v>
      </c>
      <c r="P49" s="3">
        <v>0.06</v>
      </c>
      <c r="Q49" s="35"/>
      <c r="R49">
        <v>2.0089999999999999</v>
      </c>
    </row>
    <row r="50" spans="1:18">
      <c r="A50" s="4">
        <v>38367</v>
      </c>
      <c r="B50">
        <f>YEAR(data[[#This Row],[Date]])</f>
        <v>2005</v>
      </c>
      <c r="C50" s="6">
        <f t="shared" si="0"/>
        <v>0.23</v>
      </c>
      <c r="D50" s="7">
        <f t="shared" si="1"/>
        <v>-0.08</v>
      </c>
      <c r="E50" s="7">
        <f t="shared" si="2"/>
        <v>0</v>
      </c>
      <c r="F50" s="9">
        <v>0.183</v>
      </c>
      <c r="G50" s="16">
        <v>0</v>
      </c>
      <c r="H50" s="8">
        <v>0.04</v>
      </c>
      <c r="I50" s="8">
        <v>0</v>
      </c>
      <c r="J50" s="8">
        <v>0</v>
      </c>
      <c r="K50" s="8">
        <v>0</v>
      </c>
      <c r="L5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6.471428571428571E-2</v>
      </c>
      <c r="M5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9.9859099999999992E-2</v>
      </c>
      <c r="N50" s="14">
        <f>IF(data[[#This Row],[Weighted_Avg]]&lt;&gt;"", IFERROR(AVERAGE(M38,M26,M14), ""), "")</f>
        <v>1.5738346666666667E-2</v>
      </c>
      <c r="O50" s="14" t="b">
        <f>IF(data[[#This Row],[Date]]&gt;MAX(data[Date])-750, TRUE, FALSE)</f>
        <v>0</v>
      </c>
      <c r="P50" s="3">
        <v>0.06</v>
      </c>
      <c r="Q50" s="3"/>
      <c r="R50">
        <v>1.9590000000000001</v>
      </c>
    </row>
    <row r="51" spans="1:18">
      <c r="A51" s="4">
        <v>38398</v>
      </c>
      <c r="B51">
        <f>YEAR(data[[#This Row],[Date]])</f>
        <v>2005</v>
      </c>
      <c r="C51" s="6">
        <f t="shared" si="0"/>
        <v>0.19</v>
      </c>
      <c r="D51" s="7">
        <f t="shared" si="1"/>
        <v>-0.12</v>
      </c>
      <c r="E51" s="7">
        <f t="shared" si="2"/>
        <v>0</v>
      </c>
      <c r="F51" s="9">
        <v>0.15859999999999999</v>
      </c>
      <c r="G51" s="16">
        <v>0</v>
      </c>
      <c r="H51" s="8">
        <v>0.01</v>
      </c>
      <c r="I51" s="8">
        <v>0</v>
      </c>
      <c r="J51" s="8">
        <v>0</v>
      </c>
      <c r="K51" s="8">
        <v>0</v>
      </c>
      <c r="L5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5.1228571428571436E-2</v>
      </c>
      <c r="M5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8.1328819999999996E-2</v>
      </c>
      <c r="N51" s="14">
        <f>IF(data[[#This Row],[Weighted_Avg]]&lt;&gt;"", IFERROR(AVERAGE(M39,M27,M15), ""), "")</f>
        <v>1.5841290000000001E-2</v>
      </c>
      <c r="O51" s="14" t="b">
        <f>IF(data[[#This Row],[Date]]&gt;MAX(data[Date])-750, TRUE, FALSE)</f>
        <v>0</v>
      </c>
      <c r="P51" s="3">
        <v>0.06</v>
      </c>
      <c r="Q51" s="3"/>
      <c r="R51">
        <v>2.0270000000000001</v>
      </c>
    </row>
    <row r="52" spans="1:18">
      <c r="A52" s="4">
        <v>38426</v>
      </c>
      <c r="B52">
        <f>YEAR(data[[#This Row],[Date]])</f>
        <v>2005</v>
      </c>
      <c r="C52" s="6">
        <f t="shared" si="0"/>
        <v>0.18</v>
      </c>
      <c r="D52" s="7">
        <f t="shared" si="1"/>
        <v>-0.13</v>
      </c>
      <c r="E52" s="7">
        <f t="shared" si="2"/>
        <v>0</v>
      </c>
      <c r="F52" s="9">
        <v>0.1464</v>
      </c>
      <c r="G52" s="16">
        <v>0</v>
      </c>
      <c r="H52" s="8">
        <v>0</v>
      </c>
      <c r="I52" s="8">
        <v>0</v>
      </c>
      <c r="J52" s="8">
        <v>0</v>
      </c>
      <c r="K52" s="8">
        <v>0</v>
      </c>
      <c r="L5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4.6628571428571429E-2</v>
      </c>
      <c r="M5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7.5577679999999994E-2</v>
      </c>
      <c r="N52" s="14">
        <f>IF(data[[#This Row],[Weighted_Avg]]&lt;&gt;"", IFERROR(AVERAGE(M40,M28,M16), ""), "")</f>
        <v>1.889848333333333E-2</v>
      </c>
      <c r="O52" s="14" t="b">
        <f>IF(data[[#This Row],[Date]]&gt;MAX(data[Date])-750, TRUE, FALSE)</f>
        <v>0</v>
      </c>
      <c r="P52" s="3">
        <v>0.05</v>
      </c>
      <c r="Q52" s="3"/>
      <c r="R52">
        <v>2.214</v>
      </c>
    </row>
    <row r="53" spans="1:18">
      <c r="A53" s="4">
        <v>38457</v>
      </c>
      <c r="B53">
        <f>YEAR(data[[#This Row],[Date]])</f>
        <v>2005</v>
      </c>
      <c r="C53" s="6">
        <f t="shared" si="0"/>
        <v>0.2</v>
      </c>
      <c r="D53" s="7">
        <f t="shared" si="1"/>
        <v>-0.11</v>
      </c>
      <c r="E53" s="7">
        <f t="shared" si="2"/>
        <v>0</v>
      </c>
      <c r="F53" s="9">
        <v>0.15859999999999999</v>
      </c>
      <c r="G53" s="16">
        <v>0</v>
      </c>
      <c r="H53" s="8">
        <v>0.01</v>
      </c>
      <c r="I53" s="8">
        <v>0</v>
      </c>
      <c r="J53" s="8">
        <v>0</v>
      </c>
      <c r="K53" s="8">
        <v>0</v>
      </c>
      <c r="L5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5.2657142857142861E-2</v>
      </c>
      <c r="M5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8.4358820000000001E-2</v>
      </c>
      <c r="N53" s="14">
        <f>IF(data[[#This Row],[Weighted_Avg]]&lt;&gt;"", IFERROR(AVERAGE(M41,M29,M17), ""), "")</f>
        <v>2.6453880000000003E-2</v>
      </c>
      <c r="O53" s="14" t="b">
        <f>IF(data[[#This Row],[Date]]&gt;MAX(data[Date])-750, TRUE, FALSE)</f>
        <v>0</v>
      </c>
      <c r="P53" s="3">
        <v>0.05</v>
      </c>
      <c r="Q53" s="3"/>
      <c r="R53">
        <v>2.2919999999999998</v>
      </c>
    </row>
    <row r="54" spans="1:18">
      <c r="A54" s="4">
        <v>38487</v>
      </c>
      <c r="B54">
        <f>YEAR(data[[#This Row],[Date]])</f>
        <v>2005</v>
      </c>
      <c r="C54" s="6">
        <f t="shared" si="0"/>
        <v>0.25</v>
      </c>
      <c r="D54" s="7">
        <f t="shared" si="1"/>
        <v>-7.0000000000000007E-2</v>
      </c>
      <c r="E54" s="7">
        <f t="shared" si="2"/>
        <v>0</v>
      </c>
      <c r="F54" s="9">
        <v>0.20130000000000001</v>
      </c>
      <c r="G54" s="16">
        <v>0</v>
      </c>
      <c r="H54" s="8">
        <v>0.06</v>
      </c>
      <c r="I54" s="8">
        <v>0</v>
      </c>
      <c r="J54" s="8">
        <v>0</v>
      </c>
      <c r="K54" s="8">
        <v>0</v>
      </c>
      <c r="L5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7.3042857142857159E-2</v>
      </c>
      <c r="M5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0.11048480999999999</v>
      </c>
      <c r="N54" s="14">
        <f>IF(data[[#This Row],[Weighted_Avg]]&lt;&gt;"", IFERROR(AVERAGE(M42,M30,M18), ""), "")</f>
        <v>2.9203836666666663E-2</v>
      </c>
      <c r="O54" s="14" t="b">
        <f>IF(data[[#This Row],[Date]]&gt;MAX(data[Date])-750, TRUE, FALSE)</f>
        <v>0</v>
      </c>
      <c r="P54" s="3">
        <v>0.06</v>
      </c>
      <c r="Q54" s="3"/>
      <c r="R54">
        <v>2.1989999999999998</v>
      </c>
    </row>
    <row r="55" spans="1:18">
      <c r="A55" s="4">
        <v>38518</v>
      </c>
      <c r="B55">
        <f>YEAR(data[[#This Row],[Date]])</f>
        <v>2005</v>
      </c>
      <c r="C55" s="6">
        <f t="shared" si="0"/>
        <v>0.27</v>
      </c>
      <c r="D55" s="7">
        <f t="shared" si="1"/>
        <v>-0.05</v>
      </c>
      <c r="E55" s="7">
        <f t="shared" si="2"/>
        <v>0</v>
      </c>
      <c r="F55" s="9">
        <v>0.2135</v>
      </c>
      <c r="G55" s="16">
        <v>0.01</v>
      </c>
      <c r="H55" s="8">
        <v>0.08</v>
      </c>
      <c r="I55" s="8">
        <v>0</v>
      </c>
      <c r="J55" s="8">
        <v>0</v>
      </c>
      <c r="K55" s="8">
        <v>0</v>
      </c>
      <c r="L5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8.1928571428571434E-2</v>
      </c>
      <c r="M5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0.12160295</v>
      </c>
      <c r="N55" s="14">
        <f>IF(data[[#This Row],[Weighted_Avg]]&lt;&gt;"", IFERROR(AVERAGE(M43,M31,M19), ""), "")</f>
        <v>2.8766736666666664E-2</v>
      </c>
      <c r="O55" s="14" t="b">
        <f>IF(data[[#This Row],[Date]]&gt;MAX(data[Date])-750, TRUE, FALSE)</f>
        <v>0</v>
      </c>
      <c r="P55" s="3">
        <v>0.06</v>
      </c>
      <c r="Q55" s="3"/>
      <c r="R55">
        <v>2.29</v>
      </c>
    </row>
    <row r="56" spans="1:18">
      <c r="A56" s="4">
        <v>38548</v>
      </c>
      <c r="B56">
        <f>YEAR(data[[#This Row],[Date]])</f>
        <v>2005</v>
      </c>
      <c r="C56" s="6">
        <f t="shared" si="0"/>
        <v>0.24</v>
      </c>
      <c r="D56" s="7">
        <f t="shared" si="1"/>
        <v>-7.0000000000000007E-2</v>
      </c>
      <c r="E56" s="7">
        <f t="shared" si="2"/>
        <v>0</v>
      </c>
      <c r="F56" s="9">
        <v>0.19520000000000001</v>
      </c>
      <c r="G56" s="16">
        <v>0</v>
      </c>
      <c r="H56" s="8">
        <v>0.05</v>
      </c>
      <c r="I56" s="8">
        <v>0</v>
      </c>
      <c r="J56" s="8">
        <v>0</v>
      </c>
      <c r="K56" s="8">
        <v>0</v>
      </c>
      <c r="L5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6.9314285714285717E-2</v>
      </c>
      <c r="M5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0.10561023999999999</v>
      </c>
      <c r="N56" s="14">
        <f>IF(data[[#This Row],[Weighted_Avg]]&lt;&gt;"", IFERROR(AVERAGE(M44,M32,M20), ""), "")</f>
        <v>2.7679796666666662E-2</v>
      </c>
      <c r="O56" s="14" t="b">
        <f>IF(data[[#This Row],[Date]]&gt;MAX(data[Date])-750, TRUE, FALSE)</f>
        <v>0</v>
      </c>
      <c r="P56" s="3">
        <v>0.06</v>
      </c>
      <c r="Q56" s="3"/>
      <c r="R56">
        <v>2.3730000000000002</v>
      </c>
    </row>
    <row r="57" spans="1:18">
      <c r="A57" s="4">
        <v>38579</v>
      </c>
      <c r="B57">
        <f>YEAR(data[[#This Row],[Date]])</f>
        <v>2005</v>
      </c>
      <c r="C57" s="6">
        <f t="shared" si="0"/>
        <v>0.27</v>
      </c>
      <c r="D57" s="7">
        <f t="shared" si="1"/>
        <v>-0.05</v>
      </c>
      <c r="E57" s="7">
        <f t="shared" si="2"/>
        <v>0</v>
      </c>
      <c r="F57" s="9">
        <v>0.2135</v>
      </c>
      <c r="G57" s="16">
        <v>0.01</v>
      </c>
      <c r="H57" s="8">
        <v>0.08</v>
      </c>
      <c r="I57" s="8">
        <v>0</v>
      </c>
      <c r="J57" s="8">
        <v>0</v>
      </c>
      <c r="K57" s="8">
        <v>0</v>
      </c>
      <c r="L5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8.1928571428571434E-2</v>
      </c>
      <c r="M5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0.12160295</v>
      </c>
      <c r="N57" s="14">
        <f>IF(data[[#This Row],[Weighted_Avg]]&lt;&gt;"", IFERROR(AVERAGE(M45,M33,M21), ""), "")</f>
        <v>2.4290199999999998E-2</v>
      </c>
      <c r="O57" s="14" t="b">
        <f>IF(data[[#This Row],[Date]]&gt;MAX(data[Date])-750, TRUE, FALSE)</f>
        <v>0</v>
      </c>
      <c r="P57" s="3">
        <v>0.06</v>
      </c>
      <c r="Q57" s="3"/>
      <c r="R57">
        <v>2.5</v>
      </c>
    </row>
    <row r="58" spans="1:18">
      <c r="A58" s="4">
        <v>38610</v>
      </c>
      <c r="B58">
        <f>YEAR(data[[#This Row],[Date]])</f>
        <v>2005</v>
      </c>
      <c r="C58" s="6">
        <f t="shared" si="0"/>
        <v>0.28999999999999998</v>
      </c>
      <c r="D58" s="7">
        <f t="shared" si="1"/>
        <v>-0.03</v>
      </c>
      <c r="E58" s="7">
        <f t="shared" si="2"/>
        <v>0</v>
      </c>
      <c r="F58" s="9">
        <v>0.23180000000000001</v>
      </c>
      <c r="G58" s="16">
        <v>0.03</v>
      </c>
      <c r="H58" s="8">
        <v>0.1</v>
      </c>
      <c r="I58" s="8">
        <v>0.06</v>
      </c>
      <c r="J58" s="8">
        <v>0</v>
      </c>
      <c r="K58" s="8">
        <v>0.06</v>
      </c>
      <c r="L5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0.11025714285714286</v>
      </c>
      <c r="M5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0.14774665999999997</v>
      </c>
      <c r="N58" s="14">
        <f>IF(data[[#This Row],[Weighted_Avg]]&lt;&gt;"", IFERROR(AVERAGE(M46,M34,M22), ""), "")</f>
        <v>2.6748463333333333E-2</v>
      </c>
      <c r="O58" s="14" t="b">
        <f>IF(data[[#This Row],[Date]]&gt;MAX(data[Date])-750, TRUE, FALSE)</f>
        <v>0</v>
      </c>
      <c r="P58" s="3">
        <v>0.06</v>
      </c>
      <c r="Q58" s="3"/>
      <c r="R58">
        <v>2.819</v>
      </c>
    </row>
    <row r="59" spans="1:18">
      <c r="A59" s="4">
        <v>38640</v>
      </c>
      <c r="B59">
        <f>YEAR(data[[#This Row],[Date]])</f>
        <v>2005</v>
      </c>
      <c r="C59" s="6">
        <f t="shared" si="0"/>
        <v>0.32</v>
      </c>
      <c r="D59" s="7">
        <f t="shared" si="1"/>
        <v>0.01</v>
      </c>
      <c r="E59" s="7">
        <f t="shared" si="2"/>
        <v>0</v>
      </c>
      <c r="F59" s="9">
        <v>0.25619999999999998</v>
      </c>
      <c r="G59" s="16">
        <v>5.5E-2</v>
      </c>
      <c r="H59" s="8">
        <v>0.13</v>
      </c>
      <c r="I59" s="8">
        <v>0.1</v>
      </c>
      <c r="J59" s="8">
        <v>0</v>
      </c>
      <c r="K59" s="8">
        <v>0.09</v>
      </c>
      <c r="L5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0.1358857142857143</v>
      </c>
      <c r="M5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0.17323444000000002</v>
      </c>
      <c r="N59" s="14">
        <f>IF(data[[#This Row],[Weighted_Avg]]&lt;&gt;"", IFERROR(AVERAGE(M47,M35,M23), ""), "")</f>
        <v>3.1080159999999996E-2</v>
      </c>
      <c r="O59" s="14" t="b">
        <f>IF(data[[#This Row],[Date]]&gt;MAX(data[Date])-750, TRUE, FALSE)</f>
        <v>0</v>
      </c>
      <c r="P59" s="3">
        <v>0.06</v>
      </c>
      <c r="Q59" s="3"/>
      <c r="R59">
        <v>3.0950000000000002</v>
      </c>
    </row>
    <row r="60" spans="1:18">
      <c r="A60" s="4">
        <v>38671</v>
      </c>
      <c r="B60">
        <f>YEAR(data[[#This Row],[Date]])</f>
        <v>2005</v>
      </c>
      <c r="C60" s="6">
        <f t="shared" si="0"/>
        <v>0.4</v>
      </c>
      <c r="D60" s="7">
        <f t="shared" si="1"/>
        <v>0.08</v>
      </c>
      <c r="E60" s="7">
        <f t="shared" si="2"/>
        <v>0</v>
      </c>
      <c r="F60" s="9">
        <v>0.32329999999999998</v>
      </c>
      <c r="G60" s="16">
        <v>0.12</v>
      </c>
      <c r="H60" s="8">
        <v>0.21</v>
      </c>
      <c r="I60" s="8">
        <v>0.17</v>
      </c>
      <c r="J60" s="8">
        <v>0</v>
      </c>
      <c r="K60" s="8">
        <v>0.15</v>
      </c>
      <c r="L6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0.19618571428571427</v>
      </c>
      <c r="M6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0.23671420999999998</v>
      </c>
      <c r="N60" s="14">
        <f>IF(data[[#This Row],[Weighted_Avg]]&lt;&gt;"", IFERROR(AVERAGE(M48,M36,M24), ""), "")</f>
        <v>3.7471416666666667E-2</v>
      </c>
      <c r="O60" s="14" t="b">
        <f>IF(data[[#This Row],[Date]]&gt;MAX(data[Date])-750, TRUE, FALSE)</f>
        <v>0</v>
      </c>
      <c r="P60" s="3">
        <v>0.06</v>
      </c>
      <c r="Q60" s="3"/>
      <c r="R60">
        <v>2.573</v>
      </c>
    </row>
    <row r="61" spans="1:18">
      <c r="A61" s="4">
        <v>38701</v>
      </c>
      <c r="B61">
        <f>YEAR(data[[#This Row],[Date]])</f>
        <v>2005</v>
      </c>
      <c r="C61" s="6">
        <f t="shared" si="0"/>
        <v>0.47</v>
      </c>
      <c r="D61" s="7">
        <f t="shared" si="1"/>
        <v>0.15</v>
      </c>
      <c r="E61" s="7">
        <f t="shared" si="2"/>
        <v>0</v>
      </c>
      <c r="F61" s="9">
        <v>0.37819999999999998</v>
      </c>
      <c r="G61" s="16">
        <v>0.18</v>
      </c>
      <c r="H61" s="8">
        <v>0.28000000000000003</v>
      </c>
      <c r="I61" s="8">
        <v>0.24</v>
      </c>
      <c r="J61" s="8">
        <v>0</v>
      </c>
      <c r="K61" s="8">
        <v>0.2</v>
      </c>
      <c r="L6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0.24974285714285713</v>
      </c>
      <c r="M6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0.29180333999999997</v>
      </c>
      <c r="N61" s="14">
        <f>IF(data[[#This Row],[Weighted_Avg]]&lt;&gt;"", IFERROR(AVERAGE(M49,M37,M25), ""), "")</f>
        <v>4.8096993333333331E-2</v>
      </c>
      <c r="O61" s="14" t="b">
        <f>IF(data[[#This Row],[Date]]&gt;MAX(data[Date])-750, TRUE, FALSE)</f>
        <v>0</v>
      </c>
      <c r="P61" s="3">
        <v>0.06</v>
      </c>
      <c r="Q61" s="3"/>
      <c r="R61">
        <v>2.4430000000000001</v>
      </c>
    </row>
    <row r="62" spans="1:18">
      <c r="A62" s="4">
        <v>38732</v>
      </c>
      <c r="B62">
        <f>YEAR(data[[#This Row],[Date]])</f>
        <v>2006</v>
      </c>
      <c r="C62" s="6">
        <f t="shared" si="0"/>
        <v>0.34</v>
      </c>
      <c r="D62" s="7">
        <f t="shared" si="1"/>
        <v>0.02</v>
      </c>
      <c r="E62" s="7">
        <f t="shared" si="2"/>
        <v>0</v>
      </c>
      <c r="F62" s="9">
        <v>0.27450000000000002</v>
      </c>
      <c r="G62" s="16">
        <v>7.0000000000000007E-2</v>
      </c>
      <c r="H62" s="8">
        <v>0.15</v>
      </c>
      <c r="I62" s="8">
        <v>0.11</v>
      </c>
      <c r="J62" s="8">
        <v>0</v>
      </c>
      <c r="K62" s="8">
        <v>0.1</v>
      </c>
      <c r="L6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0.14921428571428574</v>
      </c>
      <c r="M6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0.19146582999999998</v>
      </c>
      <c r="N62" s="14">
        <f>IF(data[[#This Row],[Weighted_Avg]]&lt;&gt;"", IFERROR(AVERAGE(M50,M38,M26), ""), "")</f>
        <v>4.7849086666666672E-2</v>
      </c>
      <c r="O62" s="14" t="b">
        <f>IF(data[[#This Row],[Date]]&gt;MAX(data[Date])-750, TRUE, FALSE)</f>
        <v>0</v>
      </c>
      <c r="P62" s="3">
        <v>0.06</v>
      </c>
      <c r="Q62" s="3"/>
      <c r="R62">
        <v>2.4670000000000001</v>
      </c>
    </row>
    <row r="63" spans="1:18">
      <c r="A63" s="4">
        <v>38763</v>
      </c>
      <c r="B63">
        <f>YEAR(data[[#This Row],[Date]])</f>
        <v>2006</v>
      </c>
      <c r="C63" s="6">
        <f t="shared" si="0"/>
        <v>0.3</v>
      </c>
      <c r="D63" s="7">
        <f t="shared" si="1"/>
        <v>-0.01</v>
      </c>
      <c r="E63" s="7">
        <f t="shared" si="2"/>
        <v>0</v>
      </c>
      <c r="F63" s="9">
        <v>0.24399999999999999</v>
      </c>
      <c r="G63" s="16">
        <v>4.4999999999999998E-2</v>
      </c>
      <c r="H63" s="8">
        <v>0.12</v>
      </c>
      <c r="I63" s="8">
        <v>0.08</v>
      </c>
      <c r="J63" s="8">
        <v>0</v>
      </c>
      <c r="K63" s="8">
        <v>7.0000000000000007E-2</v>
      </c>
      <c r="L6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0.12271428571428571</v>
      </c>
      <c r="M6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0.16204955999999998</v>
      </c>
      <c r="N63" s="14">
        <f>IF(data[[#This Row],[Weighted_Avg]]&lt;&gt;"", IFERROR(AVERAGE(M51,M39,M27), ""), "")</f>
        <v>4.2950896666666662E-2</v>
      </c>
      <c r="O63" s="14" t="b">
        <f>IF(data[[#This Row],[Date]]&gt;MAX(data[Date])-750, TRUE, FALSE)</f>
        <v>0</v>
      </c>
      <c r="P63" s="3">
        <v>7.0000000000000007E-2</v>
      </c>
      <c r="Q63" s="3"/>
      <c r="R63">
        <v>2.4750000000000001</v>
      </c>
    </row>
    <row r="64" spans="1:18">
      <c r="A64" s="4">
        <v>38791</v>
      </c>
      <c r="B64">
        <f>YEAR(data[[#This Row],[Date]])</f>
        <v>2006</v>
      </c>
      <c r="C64" s="6">
        <f t="shared" si="0"/>
        <v>0.31</v>
      </c>
      <c r="D64" s="7">
        <f t="shared" si="1"/>
        <v>0</v>
      </c>
      <c r="E64" s="7">
        <f t="shared" si="2"/>
        <v>0</v>
      </c>
      <c r="F64" s="9">
        <v>0.25009999999999999</v>
      </c>
      <c r="G64" s="16">
        <v>0.05</v>
      </c>
      <c r="H64" s="8">
        <v>0.12</v>
      </c>
      <c r="I64" s="8">
        <v>0.09</v>
      </c>
      <c r="J64" s="8">
        <v>0</v>
      </c>
      <c r="K64" s="8">
        <v>0.08</v>
      </c>
      <c r="L6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0.12858571428571428</v>
      </c>
      <c r="M6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0.16874765399999994</v>
      </c>
      <c r="N64" s="14">
        <f>IF(data[[#This Row],[Weighted_Avg]]&lt;&gt;"", IFERROR(AVERAGE(M52,M40,M28), ""), "")</f>
        <v>4.409104333333333E-2</v>
      </c>
      <c r="O64" s="14" t="b">
        <f>IF(data[[#This Row],[Date]]&gt;MAX(data[Date])-750, TRUE, FALSE)</f>
        <v>0</v>
      </c>
      <c r="P64" s="3">
        <v>7.0000000000000007E-2</v>
      </c>
      <c r="Q64" s="3"/>
      <c r="R64">
        <v>2.5590000000000002</v>
      </c>
    </row>
    <row r="65" spans="1:18">
      <c r="A65" s="4">
        <v>38822</v>
      </c>
      <c r="B65">
        <f>YEAR(data[[#This Row],[Date]])</f>
        <v>2006</v>
      </c>
      <c r="C65" s="6">
        <f t="shared" si="0"/>
        <v>0.31</v>
      </c>
      <c r="D65" s="7">
        <f t="shared" si="1"/>
        <v>0</v>
      </c>
      <c r="E65" s="7">
        <f t="shared" si="2"/>
        <v>0</v>
      </c>
      <c r="F65" s="9">
        <v>0.25009999999999999</v>
      </c>
      <c r="G65" s="16">
        <v>0.05</v>
      </c>
      <c r="H65" s="8">
        <v>0.12</v>
      </c>
      <c r="I65" s="8">
        <v>0.09</v>
      </c>
      <c r="J65" s="8">
        <v>0</v>
      </c>
      <c r="K65" s="8">
        <v>0.08</v>
      </c>
      <c r="L6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0.12858571428571428</v>
      </c>
      <c r="M6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0.16874765399999994</v>
      </c>
      <c r="N65" s="14">
        <f>IF(data[[#This Row],[Weighted_Avg]]&lt;&gt;"", IFERROR(AVERAGE(M53,M41,M29), ""), "")</f>
        <v>5.4573486666666671E-2</v>
      </c>
      <c r="O65" s="14" t="b">
        <f>IF(data[[#This Row],[Date]]&gt;MAX(data[Date])-750, TRUE, FALSE)</f>
        <v>0</v>
      </c>
      <c r="P65" s="3">
        <v>7.0000000000000007E-2</v>
      </c>
      <c r="Q65" s="3"/>
      <c r="R65">
        <v>2.7280000000000002</v>
      </c>
    </row>
    <row r="66" spans="1:18">
      <c r="A66" s="4">
        <v>38852</v>
      </c>
      <c r="B66">
        <f>YEAR(data[[#This Row],[Date]])</f>
        <v>2006</v>
      </c>
      <c r="C66" s="6">
        <f t="shared" si="0"/>
        <v>0.33</v>
      </c>
      <c r="D66" s="7">
        <f t="shared" si="1"/>
        <v>0.02</v>
      </c>
      <c r="E66" s="7">
        <f t="shared" si="2"/>
        <v>0</v>
      </c>
      <c r="F66" s="9">
        <v>0.26840000000000003</v>
      </c>
      <c r="G66" s="16">
        <v>6.5000000000000002E-2</v>
      </c>
      <c r="H66" s="8">
        <v>0.14000000000000001</v>
      </c>
      <c r="I66" s="8">
        <v>0.11</v>
      </c>
      <c r="J66" s="8">
        <v>0</v>
      </c>
      <c r="K66" s="8">
        <v>0.1</v>
      </c>
      <c r="L6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0.14477142857142858</v>
      </c>
      <c r="M6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0.18575723599999999</v>
      </c>
      <c r="N66" s="14">
        <f>IF(data[[#This Row],[Weighted_Avg]]&lt;&gt;"", IFERROR(AVERAGE(M54,M42,M30), ""), "")</f>
        <v>6.603210666666666E-2</v>
      </c>
      <c r="O66" s="14" t="b">
        <f>IF(data[[#This Row],[Date]]&gt;MAX(data[Date])-750, TRUE, FALSE)</f>
        <v>0</v>
      </c>
      <c r="P66" s="3">
        <v>7.0000000000000007E-2</v>
      </c>
      <c r="Q66" s="3"/>
      <c r="R66">
        <v>2.8969999999999998</v>
      </c>
    </row>
    <row r="67" spans="1:18">
      <c r="A67" s="4">
        <v>38883</v>
      </c>
      <c r="B67">
        <f>YEAR(data[[#This Row],[Date]])</f>
        <v>2006</v>
      </c>
      <c r="C67" s="6">
        <f t="shared" si="0"/>
        <v>0.37</v>
      </c>
      <c r="D67" s="7">
        <f t="shared" ref="D67:D124" si="3">IF(R65&gt;2.5,ROUNDDOWN((R65-2.5)/0.04,0)+1,ROUNDUP((R65-2.5)/0.04,0)+1)/100</f>
        <v>0.06</v>
      </c>
      <c r="E67" s="7">
        <f t="shared" si="2"/>
        <v>0</v>
      </c>
      <c r="F67" s="9">
        <v>0.30499999999999999</v>
      </c>
      <c r="G67" s="16">
        <v>0.1</v>
      </c>
      <c r="H67" s="8">
        <v>0.19</v>
      </c>
      <c r="I67" s="8">
        <v>0.15</v>
      </c>
      <c r="J67" s="8">
        <v>0</v>
      </c>
      <c r="K67" s="8">
        <v>0.13</v>
      </c>
      <c r="L67"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0.17785714285714288</v>
      </c>
      <c r="M6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0.21967030000000001</v>
      </c>
      <c r="N67" s="14">
        <f>IF(data[[#This Row],[Weighted_Avg]]&lt;&gt;"", IFERROR(AVERAGE(M55,M43,M31), ""), "")</f>
        <v>6.6949800000000004E-2</v>
      </c>
      <c r="O67" s="14" t="b">
        <f>IF(data[[#This Row],[Date]]&gt;MAX(data[Date])-750, TRUE, FALSE)</f>
        <v>0</v>
      </c>
      <c r="P67" s="3">
        <v>7.0000000000000007E-2</v>
      </c>
      <c r="Q67" s="3"/>
      <c r="R67">
        <v>2.8980000000000001</v>
      </c>
    </row>
    <row r="68" spans="1:18">
      <c r="A68" s="4">
        <v>38913</v>
      </c>
      <c r="B68">
        <f>YEAR(data[[#This Row],[Date]])</f>
        <v>2006</v>
      </c>
      <c r="C68" s="6">
        <f t="shared" si="0"/>
        <v>0.42</v>
      </c>
      <c r="D68" s="7">
        <f t="shared" si="3"/>
        <v>0.1</v>
      </c>
      <c r="E68" s="7">
        <f t="shared" ref="E68:E131" si="4">IF(R66&gt;3.25, ROUNDDOWN((R66-3.25)/0.04, 0)+1, 0)/100</f>
        <v>0</v>
      </c>
      <c r="F68" s="9">
        <v>0.33550000000000002</v>
      </c>
      <c r="G68" s="16">
        <v>0.13500000000000001</v>
      </c>
      <c r="H68" s="8">
        <v>0.23</v>
      </c>
      <c r="I68" s="8">
        <v>0.19</v>
      </c>
      <c r="J68" s="8">
        <v>0</v>
      </c>
      <c r="K68" s="8">
        <v>0.16</v>
      </c>
      <c r="L68"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0.21007142857142855</v>
      </c>
      <c r="M6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0.25473586999999998</v>
      </c>
      <c r="N68" s="14">
        <f>IF(data[[#This Row],[Weighted_Avg]]&lt;&gt;"", IFERROR(AVERAGE(M56,M44,M32), ""), "")</f>
        <v>6.0531956666666664E-2</v>
      </c>
      <c r="O68" s="14" t="b">
        <f>IF(data[[#This Row],[Date]]&gt;MAX(data[Date])-750, TRUE, FALSE)</f>
        <v>0</v>
      </c>
      <c r="P68" s="3">
        <v>7.0000000000000007E-2</v>
      </c>
      <c r="Q68" s="3"/>
      <c r="R68">
        <v>2.9340000000000002</v>
      </c>
    </row>
    <row r="69" spans="1:18">
      <c r="A69" s="4">
        <v>38944</v>
      </c>
      <c r="B69">
        <f>YEAR(data[[#This Row],[Date]])</f>
        <v>2006</v>
      </c>
      <c r="C69" s="6">
        <f t="shared" si="0"/>
        <v>0.42</v>
      </c>
      <c r="D69" s="7">
        <f t="shared" si="3"/>
        <v>0.1</v>
      </c>
      <c r="E69" s="7">
        <f t="shared" si="4"/>
        <v>0</v>
      </c>
      <c r="F69" s="9">
        <v>0.33550000000000002</v>
      </c>
      <c r="G69" s="16">
        <v>0.14000000000000001</v>
      </c>
      <c r="H69" s="8">
        <v>0.23</v>
      </c>
      <c r="I69" s="8">
        <v>0.19</v>
      </c>
      <c r="J69" s="8">
        <v>0</v>
      </c>
      <c r="K69" s="8">
        <v>0.16</v>
      </c>
      <c r="L69"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0.2107857142857143</v>
      </c>
      <c r="M6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0.25544836999999998</v>
      </c>
      <c r="N69" s="14">
        <f>IF(data[[#This Row],[Weighted_Avg]]&lt;&gt;"", IFERROR(AVERAGE(M57,M45,M33), ""), "")</f>
        <v>6.3382930000000004E-2</v>
      </c>
      <c r="O69" s="14" t="b">
        <f>IF(data[[#This Row],[Date]]&gt;MAX(data[Date])-750, TRUE, FALSE)</f>
        <v>0</v>
      </c>
      <c r="P69" s="3">
        <v>7.0000000000000007E-2</v>
      </c>
      <c r="Q69" s="3"/>
      <c r="R69">
        <v>3.0449999999999999</v>
      </c>
    </row>
    <row r="70" spans="1:18">
      <c r="A70" s="4">
        <v>38975</v>
      </c>
      <c r="B70">
        <f>YEAR(data[[#This Row],[Date]])</f>
        <v>2006</v>
      </c>
      <c r="C70" s="6">
        <f t="shared" ref="C70:C133" si="5">IF(R68&gt;1.25, ROUNDDOWN((R68-1.25)/0.04, 0)+1, 0)/100</f>
        <v>0.43</v>
      </c>
      <c r="D70" s="7">
        <f t="shared" si="3"/>
        <v>0.11</v>
      </c>
      <c r="E70" s="7">
        <f t="shared" si="4"/>
        <v>0</v>
      </c>
      <c r="F70" s="9">
        <v>0.34770000000000001</v>
      </c>
      <c r="G70" s="16">
        <v>0.14499999999999999</v>
      </c>
      <c r="H70" s="8">
        <v>0.24</v>
      </c>
      <c r="I70" s="8">
        <v>0.2</v>
      </c>
      <c r="J70" s="8">
        <v>0</v>
      </c>
      <c r="K70" s="8">
        <v>0.17</v>
      </c>
      <c r="L70"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0.21895714285714285</v>
      </c>
      <c r="M7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0.264068258</v>
      </c>
      <c r="N70" s="14">
        <f>IF(data[[#This Row],[Weighted_Avg]]&lt;&gt;"", IFERROR(AVERAGE(M58,M46,M34), ""), "")</f>
        <v>7.3646096666666661E-2</v>
      </c>
      <c r="O70" s="14" t="b">
        <f>IF(data[[#This Row],[Date]]&gt;MAX(data[Date])-750, TRUE, FALSE)</f>
        <v>0</v>
      </c>
      <c r="P70" s="3">
        <v>7.0000000000000007E-2</v>
      </c>
      <c r="Q70" s="3"/>
      <c r="R70">
        <v>2.7829999999999999</v>
      </c>
    </row>
    <row r="71" spans="1:18">
      <c r="A71" s="4">
        <v>39005</v>
      </c>
      <c r="B71">
        <f>YEAR(data[[#This Row],[Date]])</f>
        <v>2006</v>
      </c>
      <c r="C71" s="6">
        <f t="shared" si="5"/>
        <v>0.45</v>
      </c>
      <c r="D71" s="7">
        <f t="shared" si="3"/>
        <v>0.14000000000000001</v>
      </c>
      <c r="E71" s="7">
        <f t="shared" si="4"/>
        <v>0</v>
      </c>
      <c r="F71" s="9">
        <v>0.36599999999999999</v>
      </c>
      <c r="G71" s="16">
        <v>0.17</v>
      </c>
      <c r="H71" s="8">
        <v>0.27</v>
      </c>
      <c r="I71" s="8">
        <v>0.23</v>
      </c>
      <c r="J71" s="8">
        <v>0</v>
      </c>
      <c r="K71" s="8">
        <v>0.19</v>
      </c>
      <c r="L71"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0.23942857142857146</v>
      </c>
      <c r="M7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0.28365284000000002</v>
      </c>
      <c r="N71" s="14">
        <f>IF(data[[#This Row],[Weighted_Avg]]&lt;&gt;"", IFERROR(AVERAGE(M59,M47,M35), ""), "")</f>
        <v>8.6207760000000008E-2</v>
      </c>
      <c r="O71" s="14" t="b">
        <f>IF(data[[#This Row],[Date]]&gt;MAX(data[Date])-750, TRUE, FALSE)</f>
        <v>0</v>
      </c>
      <c r="P71" s="3">
        <v>7.0000000000000007E-2</v>
      </c>
      <c r="Q71" s="3"/>
      <c r="R71">
        <v>2.5190000000000001</v>
      </c>
    </row>
    <row r="72" spans="1:18">
      <c r="A72" s="4">
        <v>39036</v>
      </c>
      <c r="B72">
        <f>YEAR(data[[#This Row],[Date]])</f>
        <v>2006</v>
      </c>
      <c r="C72" s="6">
        <f t="shared" si="5"/>
        <v>0.39</v>
      </c>
      <c r="D72" s="7">
        <f t="shared" si="3"/>
        <v>0.08</v>
      </c>
      <c r="E72" s="7">
        <f t="shared" si="4"/>
        <v>0</v>
      </c>
      <c r="F72" s="9">
        <v>0.31719999999999998</v>
      </c>
      <c r="G72" s="16">
        <v>0.12</v>
      </c>
      <c r="H72" s="8">
        <v>0.2</v>
      </c>
      <c r="I72" s="8">
        <v>0.17</v>
      </c>
      <c r="J72" s="8">
        <v>0</v>
      </c>
      <c r="K72" s="8">
        <v>0.14000000000000001</v>
      </c>
      <c r="L72"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0.19102857142857146</v>
      </c>
      <c r="M7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0.23367288800000002</v>
      </c>
      <c r="N72" s="14">
        <f>IF(data[[#This Row],[Weighted_Avg]]&lt;&gt;"", IFERROR(AVERAGE(M60,M48,M36), ""), "")</f>
        <v>0.11023205999999998</v>
      </c>
      <c r="O72" s="14" t="b">
        <f>IF(data[[#This Row],[Date]]&gt;MAX(data[Date])-750, TRUE, FALSE)</f>
        <v>0</v>
      </c>
      <c r="P72" s="3">
        <v>7.0000000000000007E-2</v>
      </c>
      <c r="Q72" s="3"/>
      <c r="R72">
        <v>2.5449999999999999</v>
      </c>
    </row>
    <row r="73" spans="1:18">
      <c r="A73" s="4">
        <v>39066</v>
      </c>
      <c r="B73">
        <f>YEAR(data[[#This Row],[Date]])</f>
        <v>2006</v>
      </c>
      <c r="C73" s="6">
        <f t="shared" si="5"/>
        <v>0.32</v>
      </c>
      <c r="D73" s="7">
        <f t="shared" si="3"/>
        <v>0.01</v>
      </c>
      <c r="E73" s="7">
        <f t="shared" si="4"/>
        <v>0</v>
      </c>
      <c r="F73" s="9">
        <v>0.26229999999999998</v>
      </c>
      <c r="G73" s="16">
        <v>0.06</v>
      </c>
      <c r="H73" s="8">
        <v>0.13</v>
      </c>
      <c r="I73" s="8">
        <v>0.1</v>
      </c>
      <c r="J73" s="8">
        <v>0</v>
      </c>
      <c r="K73" s="8">
        <v>0.09</v>
      </c>
      <c r="L73"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0.13747142857142858</v>
      </c>
      <c r="M7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0.17808004199999999</v>
      </c>
      <c r="N73" s="14">
        <f>IF(data[[#This Row],[Weighted_Avg]]&lt;&gt;"", IFERROR(AVERAGE(M61,M49,M37), ""), "")</f>
        <v>0.13777909333333332</v>
      </c>
      <c r="O73" s="14" t="b">
        <f>IF(data[[#This Row],[Date]]&gt;MAX(data[Date])-750, TRUE, FALSE)</f>
        <v>0</v>
      </c>
      <c r="P73" s="3">
        <v>7.0000000000000007E-2</v>
      </c>
      <c r="Q73" s="3">
        <v>7.0000000000000007E-2</v>
      </c>
      <c r="R73">
        <v>2.61</v>
      </c>
    </row>
    <row r="74" spans="1:18">
      <c r="A74" s="4">
        <v>39097</v>
      </c>
      <c r="B74">
        <f>YEAR(data[[#This Row],[Date]])</f>
        <v>2007</v>
      </c>
      <c r="C74" s="6">
        <f t="shared" si="5"/>
        <v>0.33</v>
      </c>
      <c r="D74" s="7">
        <f t="shared" si="3"/>
        <v>0.02</v>
      </c>
      <c r="E74" s="7">
        <f t="shared" si="4"/>
        <v>0</v>
      </c>
      <c r="F74" s="9">
        <v>0.26840000000000003</v>
      </c>
      <c r="G74" s="16">
        <v>6.5000000000000002E-2</v>
      </c>
      <c r="H74" s="8">
        <v>0.14000000000000001</v>
      </c>
      <c r="I74" s="8">
        <v>0.11</v>
      </c>
      <c r="J74" s="8">
        <v>0</v>
      </c>
      <c r="K74" s="8">
        <v>0.09</v>
      </c>
      <c r="L74"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0.14334285714285716</v>
      </c>
      <c r="M7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0.18617252000000001</v>
      </c>
      <c r="N74" s="14">
        <f>IF(data[[#This Row],[Weighted_Avg]]&lt;&gt;"", IFERROR(AVERAGE(M62,M50,M38), ""), "")</f>
        <v>0.10539420333333333</v>
      </c>
      <c r="O74" s="14" t="b">
        <f>IF(data[[#This Row],[Date]]&gt;MAX(data[Date])-750, TRUE, FALSE)</f>
        <v>0</v>
      </c>
      <c r="P74" s="3">
        <v>7.0000000000000007E-2</v>
      </c>
      <c r="Q74" s="3">
        <v>7.0000000000000007E-2</v>
      </c>
      <c r="R74">
        <v>2.4849999999999999</v>
      </c>
    </row>
    <row r="75" spans="1:18">
      <c r="A75" s="4">
        <v>39128</v>
      </c>
      <c r="B75">
        <f>YEAR(data[[#This Row],[Date]])</f>
        <v>2007</v>
      </c>
      <c r="C75" s="6">
        <f t="shared" si="5"/>
        <v>0.35</v>
      </c>
      <c r="D75" s="7">
        <f t="shared" si="3"/>
        <v>0.03</v>
      </c>
      <c r="E75" s="7">
        <f t="shared" si="4"/>
        <v>0</v>
      </c>
      <c r="F75" s="9">
        <v>0.28060000000000002</v>
      </c>
      <c r="G75" s="16">
        <v>0.08</v>
      </c>
      <c r="H75" s="8">
        <v>0.16</v>
      </c>
      <c r="I75" s="8">
        <v>0.12</v>
      </c>
      <c r="J75" s="8">
        <v>0</v>
      </c>
      <c r="K75" s="8">
        <v>0.11</v>
      </c>
      <c r="L75"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0.15722857142857144</v>
      </c>
      <c r="M7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0.20207817999999997</v>
      </c>
      <c r="N75" s="14">
        <f>IF(data[[#This Row],[Weighted_Avg]]&lt;&gt;"", IFERROR(AVERAGE(M63,M51,M39), ""), "")</f>
        <v>9.0690590000000001E-2</v>
      </c>
      <c r="O75" s="14" t="b">
        <f>IF(data[[#This Row],[Date]]&gt;MAX(data[Date])-750, TRUE, FALSE)</f>
        <v>0</v>
      </c>
      <c r="P75" s="3">
        <v>7.0000000000000007E-2</v>
      </c>
      <c r="Q75" s="3">
        <v>7.0000000000000007E-2</v>
      </c>
      <c r="R75">
        <v>2.488</v>
      </c>
    </row>
    <row r="76" spans="1:18">
      <c r="A76" s="4">
        <v>39156</v>
      </c>
      <c r="B76">
        <f>YEAR(data[[#This Row],[Date]])</f>
        <v>2007</v>
      </c>
      <c r="C76" s="6">
        <f t="shared" si="5"/>
        <v>0.31</v>
      </c>
      <c r="D76" s="7">
        <f t="shared" si="3"/>
        <v>0</v>
      </c>
      <c r="E76" s="7">
        <f t="shared" si="4"/>
        <v>0</v>
      </c>
      <c r="F76" s="9">
        <v>0.25619999999999998</v>
      </c>
      <c r="G76" s="16">
        <v>0.05</v>
      </c>
      <c r="H76" s="8">
        <v>0.13</v>
      </c>
      <c r="I76" s="8">
        <v>0.09</v>
      </c>
      <c r="J76" s="8">
        <v>0</v>
      </c>
      <c r="K76" s="8">
        <v>0.08</v>
      </c>
      <c r="L76" s="9">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0.1308857142857143</v>
      </c>
      <c r="M7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0.17270386000000001</v>
      </c>
      <c r="N76" s="14">
        <f>IF(data[[#This Row],[Weighted_Avg]]&lt;&gt;"", IFERROR(AVERAGE(M64,M52,M40), ""), "")</f>
        <v>9.2592047999999982E-2</v>
      </c>
      <c r="O76" s="14" t="b">
        <f>IF(data[[#This Row],[Date]]&gt;MAX(data[Date])-750, TRUE, FALSE)</f>
        <v>0</v>
      </c>
      <c r="P76" s="3">
        <v>7.0000000000000007E-2</v>
      </c>
      <c r="Q76" s="3">
        <v>7.0000000000000007E-2</v>
      </c>
      <c r="R76">
        <v>2.6669999999999998</v>
      </c>
    </row>
    <row r="77" spans="1:18">
      <c r="A77" s="4">
        <v>39187</v>
      </c>
      <c r="B77">
        <f>YEAR(data[[#This Row],[Date]])</f>
        <v>2007</v>
      </c>
      <c r="C77" s="6">
        <f t="shared" si="5"/>
        <v>0.31</v>
      </c>
      <c r="D77" s="7">
        <f t="shared" si="3"/>
        <v>0</v>
      </c>
      <c r="E77" s="7">
        <f t="shared" si="4"/>
        <v>0</v>
      </c>
      <c r="F77" s="10">
        <v>0.25619999999999998</v>
      </c>
      <c r="G77" s="16">
        <v>5.8500000000000003E-2</v>
      </c>
      <c r="H77" s="11">
        <v>0.13</v>
      </c>
      <c r="I77" s="11">
        <v>0.09</v>
      </c>
      <c r="J77" s="11">
        <v>0</v>
      </c>
      <c r="K77" s="11">
        <v>0.08</v>
      </c>
      <c r="L7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0.1321</v>
      </c>
      <c r="M7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0.17392785999999999</v>
      </c>
      <c r="N77" s="14">
        <f>IF(data[[#This Row],[Weighted_Avg]]&lt;&gt;"", IFERROR(AVERAGE(M65,M53,M41), ""), "")</f>
        <v>9.6797664666666658E-2</v>
      </c>
      <c r="O77" s="14" t="b">
        <f>IF(data[[#This Row],[Date]]&gt;MAX(data[Date])-750, TRUE, FALSE)</f>
        <v>0</v>
      </c>
      <c r="P77" s="3">
        <v>7.0000000000000007E-2</v>
      </c>
      <c r="Q77" s="3">
        <v>7.0000000000000007E-2</v>
      </c>
      <c r="R77">
        <v>2.8340000000000001</v>
      </c>
    </row>
    <row r="78" spans="1:18">
      <c r="A78" s="4">
        <v>39217</v>
      </c>
      <c r="B78">
        <f>YEAR(data[[#This Row],[Date]])</f>
        <v>2007</v>
      </c>
      <c r="C78" s="6">
        <f t="shared" si="5"/>
        <v>0.36</v>
      </c>
      <c r="D78" s="7">
        <f t="shared" si="3"/>
        <v>0.05</v>
      </c>
      <c r="E78" s="7">
        <f t="shared" si="4"/>
        <v>0</v>
      </c>
      <c r="F78" s="10">
        <v>0.2928</v>
      </c>
      <c r="G78" s="16">
        <v>0.1051</v>
      </c>
      <c r="H78" s="11">
        <v>0.17</v>
      </c>
      <c r="I78" s="11">
        <v>0.14000000000000001</v>
      </c>
      <c r="J78" s="11">
        <v>0</v>
      </c>
      <c r="K78" s="11">
        <v>0.12</v>
      </c>
      <c r="L7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0.16969999999999999</v>
      </c>
      <c r="M7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0.21378823999999996</v>
      </c>
      <c r="N78" s="14">
        <f>IF(data[[#This Row],[Weighted_Avg]]&lt;&gt;"", IFERROR(AVERAGE(M66,M54,M42), ""), "")</f>
        <v>0.11245475866666665</v>
      </c>
      <c r="O78" s="14" t="b">
        <f>IF(data[[#This Row],[Date]]&gt;MAX(data[Date])-750, TRUE, FALSE)</f>
        <v>0</v>
      </c>
      <c r="P78" s="3">
        <v>7.0000000000000007E-2</v>
      </c>
      <c r="Q78" s="3">
        <v>7.0000000000000007E-2</v>
      </c>
      <c r="R78">
        <v>2.7959999999999998</v>
      </c>
    </row>
    <row r="79" spans="1:18">
      <c r="A79" s="4">
        <v>39248</v>
      </c>
      <c r="B79">
        <f>YEAR(data[[#This Row],[Date]])</f>
        <v>2007</v>
      </c>
      <c r="C79" s="6">
        <f t="shared" si="5"/>
        <v>0.4</v>
      </c>
      <c r="D79" s="7">
        <f t="shared" si="3"/>
        <v>0.09</v>
      </c>
      <c r="E79" s="7">
        <f t="shared" si="4"/>
        <v>0</v>
      </c>
      <c r="F79" s="10">
        <v>0.32329999999999998</v>
      </c>
      <c r="G79" s="16">
        <v>0.1419</v>
      </c>
      <c r="H79" s="7">
        <v>0.21</v>
      </c>
      <c r="I79" s="7">
        <v>0.18</v>
      </c>
      <c r="J79" s="7">
        <v>0</v>
      </c>
      <c r="K79" s="7">
        <v>0.15</v>
      </c>
      <c r="L7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0.20074285714285714</v>
      </c>
      <c r="M7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0.24614859</v>
      </c>
      <c r="N79" s="14">
        <f>IF(data[[#This Row],[Weighted_Avg]]&lt;&gt;"", IFERROR(AVERAGE(M67,M55,M43), ""), "")</f>
        <v>0.13002230000000001</v>
      </c>
      <c r="O79" s="14" t="b">
        <f>IF(data[[#This Row],[Date]]&gt;MAX(data[Date])-750, TRUE, FALSE)</f>
        <v>0</v>
      </c>
      <c r="P79" s="3">
        <v>7.0000000000000007E-2</v>
      </c>
      <c r="Q79" s="3">
        <v>7.0000000000000007E-2</v>
      </c>
      <c r="R79">
        <v>2.8079999999999998</v>
      </c>
    </row>
    <row r="80" spans="1:18">
      <c r="A80" s="4">
        <v>39278</v>
      </c>
      <c r="B80">
        <f>YEAR(data[[#This Row],[Date]])</f>
        <v>2007</v>
      </c>
      <c r="C80" s="6">
        <f t="shared" si="5"/>
        <v>0.39</v>
      </c>
      <c r="D80" s="7">
        <f t="shared" si="3"/>
        <v>0.08</v>
      </c>
      <c r="E80" s="7">
        <f t="shared" si="4"/>
        <v>0</v>
      </c>
      <c r="F80" s="10">
        <v>0.31719999999999998</v>
      </c>
      <c r="G80" s="16">
        <v>0.12590000000000001</v>
      </c>
      <c r="H80" s="7">
        <v>0.2</v>
      </c>
      <c r="I80" s="7">
        <v>0.17</v>
      </c>
      <c r="J80" s="7">
        <v>0</v>
      </c>
      <c r="K80" s="7">
        <v>0.14000000000000001</v>
      </c>
      <c r="L8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0.19187142857142861</v>
      </c>
      <c r="M8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0.23686975999999998</v>
      </c>
      <c r="N80" s="14">
        <f>IF(data[[#This Row],[Weighted_Avg]]&lt;&gt;"", IFERROR(AVERAGE(M68,M56,M44), ""), "")</f>
        <v>0.13796572666666665</v>
      </c>
      <c r="O80" s="14" t="b">
        <f>IF(data[[#This Row],[Date]]&gt;MAX(data[Date])-750, TRUE, FALSE)</f>
        <v>0</v>
      </c>
      <c r="P80" s="3">
        <v>7.4999999999999997E-2</v>
      </c>
      <c r="Q80" s="3">
        <v>7.0000000000000007E-2</v>
      </c>
      <c r="R80">
        <v>2.8679999999999999</v>
      </c>
    </row>
    <row r="81" spans="1:18">
      <c r="A81" s="4">
        <v>39309</v>
      </c>
      <c r="B81">
        <f>YEAR(data[[#This Row],[Date]])</f>
        <v>2007</v>
      </c>
      <c r="C81" s="6">
        <f t="shared" si="5"/>
        <v>0.39</v>
      </c>
      <c r="D81" s="7">
        <f t="shared" si="3"/>
        <v>0.08</v>
      </c>
      <c r="E81" s="7">
        <f t="shared" si="4"/>
        <v>0</v>
      </c>
      <c r="F81" s="10">
        <v>0.32329999999999998</v>
      </c>
      <c r="G81" s="16">
        <v>0.12790000000000001</v>
      </c>
      <c r="H81" s="7">
        <v>0.21</v>
      </c>
      <c r="I81" s="7">
        <v>0.17</v>
      </c>
      <c r="J81" s="7">
        <v>0</v>
      </c>
      <c r="K81" s="7">
        <v>0.15</v>
      </c>
      <c r="L8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0.19588571428571427</v>
      </c>
      <c r="M8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0.24071559000000001</v>
      </c>
      <c r="N81" s="14">
        <f>IF(data[[#This Row],[Weighted_Avg]]&lt;&gt;"", IFERROR(AVERAGE(M69,M57,M45), ""), "")</f>
        <v>0.14225555999999998</v>
      </c>
      <c r="O81" s="14" t="b">
        <f>IF(data[[#This Row],[Date]]&gt;MAX(data[Date])-750, TRUE, FALSE)</f>
        <v>0</v>
      </c>
      <c r="P81" s="3">
        <v>7.4999999999999997E-2</v>
      </c>
      <c r="Q81" s="3">
        <v>7.0000000000000007E-2</v>
      </c>
      <c r="R81">
        <v>2.8690000000000002</v>
      </c>
    </row>
    <row r="82" spans="1:18">
      <c r="A82" s="4">
        <v>39340</v>
      </c>
      <c r="B82">
        <f>YEAR(data[[#This Row],[Date]])</f>
        <v>2007</v>
      </c>
      <c r="C82" s="6">
        <f t="shared" si="5"/>
        <v>0.41</v>
      </c>
      <c r="D82" s="7">
        <f t="shared" si="3"/>
        <v>0.1</v>
      </c>
      <c r="E82" s="7">
        <f t="shared" si="4"/>
        <v>0</v>
      </c>
      <c r="F82" s="10">
        <v>0.32940000000000003</v>
      </c>
      <c r="G82" s="16">
        <v>0.1366</v>
      </c>
      <c r="H82" s="7">
        <v>0.22</v>
      </c>
      <c r="I82" s="7">
        <v>0.19</v>
      </c>
      <c r="J82" s="7">
        <v>0</v>
      </c>
      <c r="K82" s="7">
        <v>0.16</v>
      </c>
      <c r="L8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0.20657142857142857</v>
      </c>
      <c r="M8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0.25236022000000002</v>
      </c>
      <c r="N82" s="14">
        <f>IF(data[[#This Row],[Weighted_Avg]]&lt;&gt;"", IFERROR(AVERAGE(M70,M58,M46), ""), "")</f>
        <v>0.15512199599999998</v>
      </c>
      <c r="O82" s="14" t="b">
        <f>IF(data[[#This Row],[Date]]&gt;MAX(data[Date])-750, TRUE, FALSE)</f>
        <v>0</v>
      </c>
      <c r="P82" s="3">
        <v>7.4999999999999997E-2</v>
      </c>
      <c r="Q82" s="3">
        <v>7.0000000000000007E-2</v>
      </c>
      <c r="R82">
        <v>2.9529999999999998</v>
      </c>
    </row>
    <row r="83" spans="1:18">
      <c r="A83" s="4">
        <v>39370</v>
      </c>
      <c r="B83">
        <f>YEAR(data[[#This Row],[Date]])</f>
        <v>2007</v>
      </c>
      <c r="C83" s="6">
        <f t="shared" si="5"/>
        <v>0.41</v>
      </c>
      <c r="D83" s="7">
        <f t="shared" si="3"/>
        <v>0.1</v>
      </c>
      <c r="E83" s="7">
        <f t="shared" si="4"/>
        <v>0</v>
      </c>
      <c r="F83" s="10">
        <v>0.32940000000000003</v>
      </c>
      <c r="G83" s="16">
        <v>0.13769999999999999</v>
      </c>
      <c r="H83" s="7">
        <v>0.22</v>
      </c>
      <c r="I83" s="7">
        <v>0.19</v>
      </c>
      <c r="J83" s="7">
        <v>0</v>
      </c>
      <c r="K83" s="7">
        <v>0.16</v>
      </c>
      <c r="L8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0.2067285714285714</v>
      </c>
      <c r="M8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0.25251862000000003</v>
      </c>
      <c r="N83" s="14">
        <f>IF(data[[#This Row],[Weighted_Avg]]&lt;&gt;"", IFERROR(AVERAGE(M71,M59,M47), ""), "")</f>
        <v>0.17301049333333332</v>
      </c>
      <c r="O83" s="14" t="b">
        <f>IF(data[[#This Row],[Date]]&gt;MAX(data[Date])-750, TRUE, FALSE)</f>
        <v>0</v>
      </c>
      <c r="P83" s="3">
        <v>7.4999999999999997E-2</v>
      </c>
      <c r="Q83" s="3">
        <v>7.4999999999999997E-2</v>
      </c>
      <c r="R83">
        <v>3.0750000000000002</v>
      </c>
    </row>
    <row r="84" spans="1:18">
      <c r="A84" s="4">
        <v>39401</v>
      </c>
      <c r="B84">
        <f>YEAR(data[[#This Row],[Date]])</f>
        <v>2007</v>
      </c>
      <c r="C84" s="6">
        <f t="shared" si="5"/>
        <v>0.43</v>
      </c>
      <c r="D84" s="7">
        <f t="shared" si="3"/>
        <v>0.12</v>
      </c>
      <c r="E84" s="7">
        <f t="shared" si="4"/>
        <v>0</v>
      </c>
      <c r="F84" s="10">
        <v>0.34770000000000001</v>
      </c>
      <c r="G84" s="16">
        <v>0.1537</v>
      </c>
      <c r="H84" s="7">
        <v>0.24</v>
      </c>
      <c r="I84" s="7">
        <v>0.21</v>
      </c>
      <c r="J84" s="7">
        <v>0</v>
      </c>
      <c r="K84" s="7">
        <v>0.18</v>
      </c>
      <c r="L8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0.22305714285714284</v>
      </c>
      <c r="M8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0.26968911000000001</v>
      </c>
      <c r="N84" s="14">
        <f>IF(data[[#This Row],[Weighted_Avg]]&lt;&gt;"", IFERROR(AVERAGE(M72,M60,M48), ""), "")</f>
        <v>0.18037480933333336</v>
      </c>
      <c r="O84" s="14" t="b">
        <f>IF(data[[#This Row],[Date]]&gt;MAX(data[Date])-750, TRUE, FALSE)</f>
        <v>0</v>
      </c>
      <c r="P84" s="3">
        <v>7.4999999999999997E-2</v>
      </c>
      <c r="Q84" s="3">
        <v>7.4999999999999997E-2</v>
      </c>
      <c r="R84">
        <v>3.3959999999999999</v>
      </c>
    </row>
    <row r="85" spans="1:18">
      <c r="A85" s="4">
        <v>39431</v>
      </c>
      <c r="B85">
        <f>YEAR(data[[#This Row],[Date]])</f>
        <v>2007</v>
      </c>
      <c r="C85" s="6">
        <f t="shared" si="5"/>
        <v>0.46</v>
      </c>
      <c r="D85" s="7">
        <f t="shared" si="3"/>
        <v>0.15</v>
      </c>
      <c r="E85" s="7">
        <f t="shared" si="4"/>
        <v>0</v>
      </c>
      <c r="F85" s="10">
        <v>0.37209999999999999</v>
      </c>
      <c r="G85" s="16">
        <v>0.17499999999999999</v>
      </c>
      <c r="H85" s="7">
        <v>0.27</v>
      </c>
      <c r="I85" s="7">
        <v>0.24</v>
      </c>
      <c r="J85" s="7">
        <v>0</v>
      </c>
      <c r="K85" s="7">
        <v>0.2</v>
      </c>
      <c r="L8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0.24530000000000002</v>
      </c>
      <c r="M8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0.29284262999999999</v>
      </c>
      <c r="N85" s="14">
        <f>IF(data[[#This Row],[Weighted_Avg]]&lt;&gt;"", IFERROR(AVERAGE(M73,M61,M49), ""), "")</f>
        <v>0.18939089399999998</v>
      </c>
      <c r="O85" s="14" t="b">
        <f>IF(data[[#This Row],[Date]]&gt;MAX(data[Date])-750, TRUE, FALSE)</f>
        <v>0</v>
      </c>
      <c r="P85" s="3">
        <v>7.4999999999999997E-2</v>
      </c>
      <c r="Q85" s="3">
        <v>7.4999999999999997E-2</v>
      </c>
      <c r="R85">
        <v>3.3410000000000002</v>
      </c>
    </row>
    <row r="86" spans="1:18">
      <c r="A86" s="4">
        <v>39462</v>
      </c>
      <c r="B86">
        <f>YEAR(data[[#This Row],[Date]])</f>
        <v>2008</v>
      </c>
      <c r="C86" s="6">
        <f t="shared" si="5"/>
        <v>0.54</v>
      </c>
      <c r="D86" s="7">
        <f t="shared" si="3"/>
        <v>0.23</v>
      </c>
      <c r="E86" s="7">
        <f t="shared" si="4"/>
        <v>0.04</v>
      </c>
      <c r="F86" s="10">
        <v>0.43919999999999998</v>
      </c>
      <c r="G86" s="16">
        <v>0.24</v>
      </c>
      <c r="H86" s="7">
        <v>0.35</v>
      </c>
      <c r="I86" s="7">
        <v>0.32</v>
      </c>
      <c r="J86" s="7">
        <v>0</v>
      </c>
      <c r="K86" s="7">
        <v>0.26</v>
      </c>
      <c r="L8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0.30702857142857143</v>
      </c>
      <c r="M8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0.35635390591122984</v>
      </c>
      <c r="N86" s="14">
        <f>IF(data[[#This Row],[Weighted_Avg]]&lt;&gt;"", IFERROR(AVERAGE(M74,M62,M50), ""), "")</f>
        <v>0.15916581666666665</v>
      </c>
      <c r="O86" s="14" t="b">
        <f>IF(data[[#This Row],[Date]]&gt;MAX(data[Date])-750, TRUE, FALSE)</f>
        <v>0</v>
      </c>
      <c r="P86" s="3">
        <v>7.4999999999999997E-2</v>
      </c>
      <c r="Q86" s="3">
        <v>7.4999999999999997E-2</v>
      </c>
      <c r="R86">
        <v>3.3079999999999998</v>
      </c>
    </row>
    <row r="87" spans="1:18">
      <c r="A87" s="4">
        <v>39493</v>
      </c>
      <c r="B87">
        <f>YEAR(data[[#This Row],[Date]])</f>
        <v>2008</v>
      </c>
      <c r="C87" s="6">
        <f t="shared" si="5"/>
        <v>0.53</v>
      </c>
      <c r="D87" s="7">
        <f t="shared" si="3"/>
        <v>0.22</v>
      </c>
      <c r="E87" s="7">
        <f t="shared" si="4"/>
        <v>0.03</v>
      </c>
      <c r="F87" s="10">
        <v>0.42699999999999999</v>
      </c>
      <c r="G87" s="16">
        <v>0.23</v>
      </c>
      <c r="H87" s="7">
        <v>0.34</v>
      </c>
      <c r="I87" s="7">
        <v>0.31</v>
      </c>
      <c r="J87" s="7">
        <v>0</v>
      </c>
      <c r="K87" s="7">
        <v>0.25</v>
      </c>
      <c r="L8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0.29814285714285715</v>
      </c>
      <c r="M8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0.3470046560150355</v>
      </c>
      <c r="N87" s="14">
        <f>IF(data[[#This Row],[Weighted_Avg]]&lt;&gt;"", IFERROR(AVERAGE(M75,M63,M51), ""), "")</f>
        <v>0.14848551999999995</v>
      </c>
      <c r="O87" s="14" t="b">
        <f>IF(data[[#This Row],[Date]]&gt;MAX(data[Date])-750, TRUE, FALSE)</f>
        <v>0</v>
      </c>
      <c r="P87" s="3">
        <v>7.4999999999999997E-2</v>
      </c>
      <c r="Q87" s="3">
        <v>7.4999999999999997E-2</v>
      </c>
      <c r="R87">
        <v>3.3769999999999998</v>
      </c>
    </row>
    <row r="88" spans="1:18">
      <c r="A88" s="4">
        <v>39522</v>
      </c>
      <c r="B88">
        <f>YEAR(data[[#This Row],[Date]])</f>
        <v>2008</v>
      </c>
      <c r="C88" s="6">
        <f t="shared" si="5"/>
        <v>0.52</v>
      </c>
      <c r="D88" s="7">
        <f t="shared" si="3"/>
        <v>0.21</v>
      </c>
      <c r="E88" s="7">
        <f t="shared" si="4"/>
        <v>0.02</v>
      </c>
      <c r="F88" s="10">
        <v>0.4209</v>
      </c>
      <c r="G88" s="16">
        <v>0.22500000000000001</v>
      </c>
      <c r="H88" s="7">
        <v>0.33</v>
      </c>
      <c r="I88" s="7">
        <v>0.3</v>
      </c>
      <c r="J88" s="7">
        <v>0</v>
      </c>
      <c r="K88" s="7">
        <v>0.25</v>
      </c>
      <c r="L8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0.29227142857142863</v>
      </c>
      <c r="M8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0.34111017640637997</v>
      </c>
      <c r="N88" s="14">
        <f>IF(data[[#This Row],[Weighted_Avg]]&lt;&gt;"", IFERROR(AVERAGE(M76,M64,M52), ""), "")</f>
        <v>0.1390097313333333</v>
      </c>
      <c r="O88" s="14" t="b">
        <f>IF(data[[#This Row],[Date]]&gt;MAX(data[Date])-750, TRUE, FALSE)</f>
        <v>0</v>
      </c>
      <c r="P88" s="3">
        <v>0.08</v>
      </c>
      <c r="Q88" s="3">
        <v>7.4999999999999997E-2</v>
      </c>
      <c r="R88">
        <v>3.8809999999999998</v>
      </c>
    </row>
    <row r="89" spans="1:18">
      <c r="A89" s="4">
        <v>39553</v>
      </c>
      <c r="B89">
        <f>YEAR(data[[#This Row],[Date]])</f>
        <v>2008</v>
      </c>
      <c r="C89" s="6">
        <f t="shared" si="5"/>
        <v>0.54</v>
      </c>
      <c r="D89" s="7">
        <f t="shared" si="3"/>
        <v>0.22</v>
      </c>
      <c r="E89" s="7">
        <f t="shared" si="4"/>
        <v>0.04</v>
      </c>
      <c r="F89" s="10">
        <v>0.4083</v>
      </c>
      <c r="G89" s="16">
        <v>0.23499999999999999</v>
      </c>
      <c r="H89" s="7">
        <v>0.35</v>
      </c>
      <c r="I89" s="7">
        <v>0.31</v>
      </c>
      <c r="J89" s="7">
        <v>0</v>
      </c>
      <c r="K89" s="7">
        <v>0.26</v>
      </c>
      <c r="L8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0.30047142857142856</v>
      </c>
      <c r="M8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0.35132235956904256</v>
      </c>
      <c r="N89" s="14">
        <f>IF(data[[#This Row],[Weighted_Avg]]&lt;&gt;"", IFERROR(AVERAGE(M77,M65,M53), ""), "")</f>
        <v>0.14234477799999998</v>
      </c>
      <c r="O89" s="14" t="b">
        <f>IF(data[[#This Row],[Date]]&gt;MAX(data[Date])-750, TRUE, FALSE)</f>
        <v>0</v>
      </c>
      <c r="P89" s="3">
        <v>0.08</v>
      </c>
      <c r="Q89" s="3">
        <v>7.4999999999999997E-2</v>
      </c>
      <c r="R89">
        <v>4.0839999999999996</v>
      </c>
    </row>
    <row r="90" spans="1:18">
      <c r="A90" s="4">
        <v>39583</v>
      </c>
      <c r="B90">
        <f>YEAR(data[[#This Row],[Date]])</f>
        <v>2008</v>
      </c>
      <c r="C90" s="6">
        <f t="shared" si="5"/>
        <v>0.66</v>
      </c>
      <c r="D90" s="7">
        <f t="shared" si="3"/>
        <v>0.35</v>
      </c>
      <c r="E90" s="7">
        <f t="shared" si="4"/>
        <v>0.16</v>
      </c>
      <c r="F90" s="10">
        <v>0.30480000000000002</v>
      </c>
      <c r="G90" s="16">
        <v>0.34</v>
      </c>
      <c r="H90" s="7">
        <v>0.48</v>
      </c>
      <c r="I90" s="7">
        <v>0.44</v>
      </c>
      <c r="J90" s="7">
        <v>0</v>
      </c>
      <c r="K90" s="7">
        <v>0.36</v>
      </c>
      <c r="L9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0.36925714285714284</v>
      </c>
      <c r="M9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0.42596585236245604</v>
      </c>
      <c r="N90" s="14">
        <f>IF(data[[#This Row],[Weighted_Avg]]&lt;&gt;"", IFERROR(AVERAGE(M78,M66,M54), ""), "")</f>
        <v>0.17001009533333331</v>
      </c>
      <c r="O90" s="14" t="b">
        <f>IF(data[[#This Row],[Date]]&gt;MAX(data[Date])-750, TRUE, FALSE)</f>
        <v>0</v>
      </c>
      <c r="P90" s="3">
        <v>0.08</v>
      </c>
      <c r="Q90" s="3">
        <v>7.4999999999999997E-2</v>
      </c>
      <c r="R90">
        <v>4.4249999999999998</v>
      </c>
    </row>
    <row r="91" spans="1:18">
      <c r="A91" s="4">
        <v>39614</v>
      </c>
      <c r="B91">
        <f>YEAR(data[[#This Row],[Date]])</f>
        <v>2008</v>
      </c>
      <c r="C91" s="6">
        <f t="shared" si="5"/>
        <v>0.71</v>
      </c>
      <c r="D91" s="7">
        <f t="shared" si="3"/>
        <v>0.4</v>
      </c>
      <c r="E91" s="7">
        <f t="shared" si="4"/>
        <v>0.21</v>
      </c>
      <c r="F91" s="10">
        <v>0.34499999999999997</v>
      </c>
      <c r="G91" s="16">
        <v>0.38500000000000001</v>
      </c>
      <c r="H91" s="7">
        <v>0.53</v>
      </c>
      <c r="I91" s="7">
        <v>0.49</v>
      </c>
      <c r="J91" s="7">
        <v>0</v>
      </c>
      <c r="K91" s="7">
        <v>0.4</v>
      </c>
      <c r="L9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0.40857142857142853</v>
      </c>
      <c r="M9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0.46735050258047678</v>
      </c>
      <c r="N91" s="14">
        <f>IF(data[[#This Row],[Weighted_Avg]]&lt;&gt;"", IFERROR(AVERAGE(M79,M67,M55), ""), "")</f>
        <v>0.19580728</v>
      </c>
      <c r="O91" s="14" t="b">
        <f>IF(data[[#This Row],[Date]]&gt;MAX(data[Date])-750, TRUE, FALSE)</f>
        <v>0</v>
      </c>
      <c r="P91" s="3">
        <v>0.08</v>
      </c>
      <c r="Q91" s="3">
        <v>7.4999999999999997E-2</v>
      </c>
      <c r="R91">
        <v>4.6769999999999996</v>
      </c>
    </row>
    <row r="92" spans="1:18">
      <c r="A92" s="4">
        <v>39644</v>
      </c>
      <c r="B92">
        <f>YEAR(data[[#This Row],[Date]])</f>
        <v>2008</v>
      </c>
      <c r="C92" s="6">
        <f t="shared" si="5"/>
        <v>0.8</v>
      </c>
      <c r="D92" s="7">
        <f t="shared" si="3"/>
        <v>0.49</v>
      </c>
      <c r="E92" s="7">
        <f t="shared" si="4"/>
        <v>0.3</v>
      </c>
      <c r="F92" s="10">
        <v>0.4083</v>
      </c>
      <c r="G92" s="16">
        <v>0.45500000000000002</v>
      </c>
      <c r="H92" s="7">
        <v>0.61</v>
      </c>
      <c r="I92" s="7">
        <v>0.57999999999999996</v>
      </c>
      <c r="J92" s="7">
        <v>0</v>
      </c>
      <c r="K92" s="7">
        <v>0.47</v>
      </c>
      <c r="L9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0.47475714285714282</v>
      </c>
      <c r="M9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0.53774135721458038</v>
      </c>
      <c r="N92" s="14">
        <f>IF(data[[#This Row],[Weighted_Avg]]&lt;&gt;"", IFERROR(AVERAGE(M80,M68,M56), ""), "")</f>
        <v>0.19907195666666666</v>
      </c>
      <c r="O92" s="14" t="b">
        <f>IF(data[[#This Row],[Date]]&gt;MAX(data[Date])-750, TRUE, FALSE)</f>
        <v>0</v>
      </c>
      <c r="P92" s="3">
        <v>0.08</v>
      </c>
      <c r="Q92" s="3">
        <v>7.4999999999999997E-2</v>
      </c>
      <c r="R92">
        <v>4.7030000000000003</v>
      </c>
    </row>
    <row r="93" spans="1:18">
      <c r="A93" s="4">
        <v>39675</v>
      </c>
      <c r="B93">
        <f>YEAR(data[[#This Row],[Date]])</f>
        <v>2008</v>
      </c>
      <c r="C93" s="6">
        <f t="shared" si="5"/>
        <v>0.86</v>
      </c>
      <c r="D93" s="7">
        <f t="shared" si="3"/>
        <v>0.55000000000000004</v>
      </c>
      <c r="E93" s="7">
        <f t="shared" si="4"/>
        <v>0.36</v>
      </c>
      <c r="F93" s="10">
        <v>0.46</v>
      </c>
      <c r="G93" s="16">
        <v>0.51</v>
      </c>
      <c r="H93" s="7">
        <v>0.67</v>
      </c>
      <c r="I93" s="7">
        <v>0.64</v>
      </c>
      <c r="J93" s="7">
        <v>0</v>
      </c>
      <c r="K93" s="7">
        <v>0.52</v>
      </c>
      <c r="L9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0.52285714285714291</v>
      </c>
      <c r="M9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0.5883844559490139</v>
      </c>
      <c r="N93" s="14">
        <f>IF(data[[#This Row],[Weighted_Avg]]&lt;&gt;"", IFERROR(AVERAGE(M81,M69,M57), ""), "")</f>
        <v>0.20592230333333331</v>
      </c>
      <c r="O93" s="14" t="b">
        <f>IF(data[[#This Row],[Date]]&gt;MAX(data[Date])-750, TRUE, FALSE)</f>
        <v>0</v>
      </c>
      <c r="P93" s="3">
        <v>0.08</v>
      </c>
      <c r="Q93" s="3">
        <v>7.4999999999999997E-2</v>
      </c>
      <c r="R93">
        <v>4.3019999999999996</v>
      </c>
    </row>
    <row r="94" spans="1:18">
      <c r="A94" s="4">
        <v>39706</v>
      </c>
      <c r="B94">
        <f>YEAR(data[[#This Row],[Date]])</f>
        <v>2008</v>
      </c>
      <c r="C94" s="6">
        <f t="shared" si="5"/>
        <v>0.87</v>
      </c>
      <c r="D94" s="7">
        <f t="shared" si="3"/>
        <v>0.56000000000000005</v>
      </c>
      <c r="E94" s="7">
        <f t="shared" si="4"/>
        <v>0.37</v>
      </c>
      <c r="F94" s="10">
        <v>0.46579999999999999</v>
      </c>
      <c r="G94" s="16">
        <v>0.51500000000000001</v>
      </c>
      <c r="H94" s="7">
        <v>0.68</v>
      </c>
      <c r="I94" s="7">
        <v>0.65</v>
      </c>
      <c r="J94" s="7">
        <v>0</v>
      </c>
      <c r="K94" s="7">
        <v>0.53</v>
      </c>
      <c r="L9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0.53011428571428565</v>
      </c>
      <c r="M9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0.59609819395385166</v>
      </c>
      <c r="N94" s="14">
        <f>IF(data[[#This Row],[Weighted_Avg]]&lt;&gt;"", IFERROR(AVERAGE(M82,M70,M58), ""), "")</f>
        <v>0.22139171266666668</v>
      </c>
      <c r="O94" s="14" t="b">
        <f>IF(data[[#This Row],[Date]]&gt;MAX(data[Date])-750, TRUE, FALSE)</f>
        <v>0</v>
      </c>
      <c r="P94" s="3">
        <v>0.08</v>
      </c>
      <c r="Q94" s="3">
        <v>0.08</v>
      </c>
      <c r="R94">
        <v>4.024</v>
      </c>
    </row>
    <row r="95" spans="1:18">
      <c r="A95" s="4">
        <v>39736</v>
      </c>
      <c r="B95">
        <f>YEAR(data[[#This Row],[Date]])</f>
        <v>2008</v>
      </c>
      <c r="C95" s="6">
        <f t="shared" si="5"/>
        <v>0.77</v>
      </c>
      <c r="D95" s="7">
        <f t="shared" si="3"/>
        <v>0.46</v>
      </c>
      <c r="E95" s="7">
        <f t="shared" si="4"/>
        <v>0.27</v>
      </c>
      <c r="F95" s="10">
        <v>0.38529999999999998</v>
      </c>
      <c r="G95" s="16">
        <v>0.43</v>
      </c>
      <c r="H95" s="7">
        <v>0.57999999999999996</v>
      </c>
      <c r="I95" s="7">
        <v>0.55000000000000004</v>
      </c>
      <c r="J95" s="7">
        <v>0</v>
      </c>
      <c r="K95" s="7">
        <v>0.45</v>
      </c>
      <c r="L9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0.4521857142857143</v>
      </c>
      <c r="M9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0.51412124973976692</v>
      </c>
      <c r="N95" s="14">
        <f>IF(data[[#This Row],[Weighted_Avg]]&lt;&gt;"", IFERROR(AVERAGE(M83,M71,M59), ""), "")</f>
        <v>0.23646863333333334</v>
      </c>
      <c r="O95" s="14" t="b">
        <f>IF(data[[#This Row],[Date]]&gt;MAX(data[Date])-750, TRUE, FALSE)</f>
        <v>0</v>
      </c>
      <c r="P95" s="3">
        <v>0.09</v>
      </c>
      <c r="Q95" s="3">
        <v>8.5000000000000006E-2</v>
      </c>
      <c r="R95">
        <v>3.5760000000000001</v>
      </c>
    </row>
    <row r="96" spans="1:18">
      <c r="A96" s="4">
        <v>39767</v>
      </c>
      <c r="B96">
        <f>YEAR(data[[#This Row],[Date]])</f>
        <v>2008</v>
      </c>
      <c r="C96" s="6">
        <f t="shared" si="5"/>
        <v>0.7</v>
      </c>
      <c r="D96" s="7">
        <f t="shared" si="3"/>
        <v>0.39</v>
      </c>
      <c r="E96" s="7">
        <f t="shared" si="4"/>
        <v>0.2</v>
      </c>
      <c r="F96" s="10">
        <v>0.33350000000000002</v>
      </c>
      <c r="G96" s="16">
        <v>0.37</v>
      </c>
      <c r="H96" s="7">
        <v>0.51</v>
      </c>
      <c r="I96" s="7">
        <v>0.48</v>
      </c>
      <c r="J96" s="7">
        <v>0</v>
      </c>
      <c r="K96" s="7">
        <v>0.39</v>
      </c>
      <c r="L9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0.39764285714285724</v>
      </c>
      <c r="M9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0.45650379566443111</v>
      </c>
      <c r="N96" s="14">
        <f>IF(data[[#This Row],[Weighted_Avg]]&lt;&gt;"", IFERROR(AVERAGE(M84,M72,M60), ""), "")</f>
        <v>0.24669206933333335</v>
      </c>
      <c r="O96" s="14" t="b">
        <f>IF(data[[#This Row],[Date]]&gt;MAX(data[Date])-750, TRUE, FALSE)</f>
        <v>0</v>
      </c>
      <c r="P96" s="3">
        <v>0.1</v>
      </c>
      <c r="Q96" s="3">
        <v>8.5000000000000006E-2</v>
      </c>
      <c r="R96">
        <v>2.8759999999999999</v>
      </c>
    </row>
    <row r="97" spans="1:18">
      <c r="A97" s="4">
        <v>39797</v>
      </c>
      <c r="B97">
        <f>YEAR(data[[#This Row],[Date]])</f>
        <v>2008</v>
      </c>
      <c r="C97" s="6">
        <f t="shared" si="5"/>
        <v>0.59</v>
      </c>
      <c r="D97" s="7">
        <f t="shared" si="3"/>
        <v>0.27</v>
      </c>
      <c r="E97" s="7">
        <f t="shared" si="4"/>
        <v>0.09</v>
      </c>
      <c r="F97" s="10">
        <v>0.24729999999999999</v>
      </c>
      <c r="G97" s="16">
        <v>0.28000000000000003</v>
      </c>
      <c r="H97" s="7">
        <v>0.4</v>
      </c>
      <c r="I97" s="7">
        <v>0.36</v>
      </c>
      <c r="J97" s="7">
        <v>0</v>
      </c>
      <c r="K97" s="7">
        <v>0.3</v>
      </c>
      <c r="L9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0.31104285714285712</v>
      </c>
      <c r="M9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0.36660809891271473</v>
      </c>
      <c r="N97" s="14">
        <f>IF(data[[#This Row],[Weighted_Avg]]&lt;&gt;"", IFERROR(AVERAGE(M85,M73,M61), ""), "")</f>
        <v>0.25424200399999997</v>
      </c>
      <c r="O97" s="14" t="b">
        <f>IF(data[[#This Row],[Date]]&gt;MAX(data[Date])-750, TRUE, FALSE)</f>
        <v>0</v>
      </c>
      <c r="P97" s="3">
        <v>0.105</v>
      </c>
      <c r="Q97" s="3">
        <v>0.09</v>
      </c>
      <c r="R97">
        <v>2.4489999999999998</v>
      </c>
    </row>
    <row r="98" spans="1:18">
      <c r="A98" s="4">
        <v>39828</v>
      </c>
      <c r="B98">
        <f>YEAR(data[[#This Row],[Date]])</f>
        <v>2009</v>
      </c>
      <c r="C98" s="6">
        <f t="shared" si="5"/>
        <v>0.41</v>
      </c>
      <c r="D98" s="7">
        <f t="shared" si="3"/>
        <v>0.1</v>
      </c>
      <c r="E98" s="7">
        <f t="shared" si="4"/>
        <v>0</v>
      </c>
      <c r="F98" s="10">
        <v>0.115</v>
      </c>
      <c r="G98" s="16">
        <f>AVERAGE(0.07,0.035)</f>
        <v>5.2500000000000005E-2</v>
      </c>
      <c r="H98" s="7">
        <v>0.22</v>
      </c>
      <c r="I98" s="7">
        <v>0.19</v>
      </c>
      <c r="J98" s="7">
        <v>0</v>
      </c>
      <c r="K98" s="7">
        <v>0.16</v>
      </c>
      <c r="L9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0.16392857142857142</v>
      </c>
      <c r="M9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0.20343900150211841</v>
      </c>
      <c r="N98" s="14">
        <f>IF(data[[#This Row],[Weighted_Avg]]&lt;&gt;"", IFERROR(AVERAGE(M86,M74,M62), ""), "")</f>
        <v>0.24466408530374328</v>
      </c>
      <c r="O98" s="14" t="b">
        <f>IF(data[[#This Row],[Date]]&gt;MAX(data[Date])-750, TRUE, FALSE)</f>
        <v>0</v>
      </c>
      <c r="P98" s="3">
        <v>0.11</v>
      </c>
      <c r="Q98" s="3">
        <v>0.09</v>
      </c>
      <c r="R98">
        <v>2.2919999999999998</v>
      </c>
    </row>
    <row r="99" spans="1:18">
      <c r="A99" s="4">
        <v>39859</v>
      </c>
      <c r="B99">
        <f>YEAR(data[[#This Row],[Date]])</f>
        <v>2009</v>
      </c>
      <c r="C99" s="6">
        <f t="shared" si="5"/>
        <v>0.3</v>
      </c>
      <c r="D99" s="7">
        <f t="shared" si="3"/>
        <v>-0.01</v>
      </c>
      <c r="E99" s="7">
        <f t="shared" si="4"/>
        <v>0</v>
      </c>
      <c r="F99" s="10">
        <v>2.8799999999999999E-2</v>
      </c>
      <c r="G99" s="16">
        <f>AVERAGE(0.015,0.01)</f>
        <v>1.2500000000000001E-2</v>
      </c>
      <c r="H99" s="7">
        <v>0.12</v>
      </c>
      <c r="I99" s="7">
        <v>0.08</v>
      </c>
      <c r="J99" s="7">
        <v>0</v>
      </c>
      <c r="K99" s="7">
        <v>7.0000000000000007E-2</v>
      </c>
      <c r="L9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8.7328571428571422E-2</v>
      </c>
      <c r="M9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0.12414724921689342</v>
      </c>
      <c r="N99" s="14">
        <f>IF(data[[#This Row],[Weighted_Avg]]&lt;&gt;"", IFERROR(AVERAGE(M87,M75,M63), ""), "")</f>
        <v>0.23704413200501184</v>
      </c>
      <c r="O99" s="14" t="b">
        <f>IF(data[[#This Row],[Date]]&gt;MAX(data[Date])-750, TRUE, FALSE)</f>
        <v>0</v>
      </c>
      <c r="P99" s="3">
        <v>9.5000000000000001E-2</v>
      </c>
      <c r="Q99" s="3">
        <v>9.5000000000000001E-2</v>
      </c>
      <c r="R99">
        <v>2.1949999999999998</v>
      </c>
    </row>
    <row r="100" spans="1:18">
      <c r="A100" s="4">
        <v>39887</v>
      </c>
      <c r="B100">
        <f>YEAR(data[[#This Row],[Date]])</f>
        <v>2009</v>
      </c>
      <c r="C100" s="6">
        <f t="shared" si="5"/>
        <v>0.27</v>
      </c>
      <c r="D100" s="7">
        <f t="shared" si="3"/>
        <v>-0.05</v>
      </c>
      <c r="E100" s="7">
        <f t="shared" si="4"/>
        <v>0</v>
      </c>
      <c r="F100" s="10">
        <v>0</v>
      </c>
      <c r="G100" s="16">
        <f>AVERAGE(0.005,0)</f>
        <v>2.5000000000000001E-3</v>
      </c>
      <c r="H100" s="7">
        <v>0.08</v>
      </c>
      <c r="I100" s="7">
        <v>0</v>
      </c>
      <c r="J100" s="7">
        <v>0</v>
      </c>
      <c r="K100" s="7">
        <v>0</v>
      </c>
      <c r="L10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5.0357142857142864E-2</v>
      </c>
      <c r="M10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9.1841776312545823E-2</v>
      </c>
      <c r="N100" s="14">
        <f>IF(data[[#This Row],[Weighted_Avg]]&lt;&gt;"", IFERROR(AVERAGE(M88,M76,M64), ""), "")</f>
        <v>0.22752056346879332</v>
      </c>
      <c r="O100" s="14" t="b">
        <f>IF(data[[#This Row],[Date]]&gt;MAX(data[Date])-750, TRUE, FALSE)</f>
        <v>0</v>
      </c>
      <c r="P100" s="3">
        <v>9.5000000000000001E-2</v>
      </c>
      <c r="Q100" s="3">
        <v>9.5000000000000001E-2</v>
      </c>
      <c r="R100">
        <v>2.0920000000000001</v>
      </c>
    </row>
    <row r="101" spans="1:18">
      <c r="A101" s="4">
        <v>39918</v>
      </c>
      <c r="B101">
        <f>YEAR(data[[#This Row],[Date]])</f>
        <v>2009</v>
      </c>
      <c r="C101" s="6">
        <f t="shared" si="5"/>
        <v>0.24</v>
      </c>
      <c r="D101" s="7">
        <f t="shared" si="3"/>
        <v>-7.0000000000000007E-2</v>
      </c>
      <c r="E101" s="7">
        <f t="shared" si="4"/>
        <v>0</v>
      </c>
      <c r="F101" s="10">
        <v>0</v>
      </c>
      <c r="G101" s="16">
        <f>AVERAGE(0,0)</f>
        <v>0</v>
      </c>
      <c r="H101" s="7">
        <v>0.05</v>
      </c>
      <c r="I101" s="7">
        <v>0</v>
      </c>
      <c r="J101" s="7">
        <v>0</v>
      </c>
      <c r="K101" s="7">
        <v>0</v>
      </c>
      <c r="L10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4.1428571428571426E-2</v>
      </c>
      <c r="M10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7.9761416264293949E-2</v>
      </c>
      <c r="N101" s="14">
        <f>IF(data[[#This Row],[Weighted_Avg]]&lt;&gt;"", IFERROR(AVERAGE(M89,M77,M65), ""), "")</f>
        <v>0.23133262452301415</v>
      </c>
      <c r="O101" s="14" t="b">
        <f>IF(data[[#This Row],[Date]]&gt;MAX(data[Date])-750, TRUE, FALSE)</f>
        <v>0</v>
      </c>
      <c r="P101" s="3">
        <v>9.5000000000000001E-2</v>
      </c>
      <c r="Q101" s="3">
        <v>9.5000000000000001E-2</v>
      </c>
      <c r="R101">
        <v>2.2200000000000002</v>
      </c>
    </row>
    <row r="102" spans="1:18">
      <c r="A102" s="4">
        <v>39948</v>
      </c>
      <c r="B102">
        <f>YEAR(data[[#This Row],[Date]])</f>
        <v>2009</v>
      </c>
      <c r="C102" s="6">
        <f t="shared" si="5"/>
        <v>0.22</v>
      </c>
      <c r="D102" s="7">
        <f t="shared" si="3"/>
        <v>-0.1</v>
      </c>
      <c r="E102" s="7">
        <f t="shared" si="4"/>
        <v>0</v>
      </c>
      <c r="F102" s="10">
        <v>0</v>
      </c>
      <c r="G102" s="16">
        <f>AVERAGE(0,0)</f>
        <v>0</v>
      </c>
      <c r="H102" s="7">
        <v>0.03</v>
      </c>
      <c r="I102" s="7">
        <v>0</v>
      </c>
      <c r="J102" s="7">
        <v>0</v>
      </c>
      <c r="K102" s="7">
        <v>0</v>
      </c>
      <c r="L10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3.5714285714285712E-2</v>
      </c>
      <c r="M10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7.201891288699272E-2</v>
      </c>
      <c r="N102" s="14">
        <f>IF(data[[#This Row],[Weighted_Avg]]&lt;&gt;"", IFERROR(AVERAGE(M90,M78,M66), ""), "")</f>
        <v>0.27517044278748531</v>
      </c>
      <c r="O102" s="14" t="b">
        <f>IF(data[[#This Row],[Date]]&gt;MAX(data[Date])-750, TRUE, FALSE)</f>
        <v>0</v>
      </c>
      <c r="P102" s="3">
        <v>9.5000000000000001E-2</v>
      </c>
      <c r="Q102" s="3">
        <v>9.5000000000000001E-2</v>
      </c>
      <c r="R102">
        <v>2.2269999999999999</v>
      </c>
    </row>
    <row r="103" spans="1:18">
      <c r="A103" s="4">
        <v>39979</v>
      </c>
      <c r="B103">
        <f>YEAR(data[[#This Row],[Date]])</f>
        <v>2009</v>
      </c>
      <c r="C103" s="6">
        <f t="shared" si="5"/>
        <v>0.25</v>
      </c>
      <c r="D103" s="7">
        <f t="shared" si="3"/>
        <v>-0.06</v>
      </c>
      <c r="E103" s="7">
        <f t="shared" si="4"/>
        <v>0</v>
      </c>
      <c r="F103" s="10">
        <v>0</v>
      </c>
      <c r="G103" s="16">
        <f>AVERAGE(0,0.005)</f>
        <v>2.5000000000000001E-3</v>
      </c>
      <c r="H103" s="7">
        <v>0.06</v>
      </c>
      <c r="I103" s="7">
        <v>0</v>
      </c>
      <c r="J103" s="7">
        <v>0</v>
      </c>
      <c r="K103" s="7">
        <v>0</v>
      </c>
      <c r="L10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4.4642857142857144E-2</v>
      </c>
      <c r="M10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8.4099272935244565E-2</v>
      </c>
      <c r="N103" s="14">
        <f>IF(data[[#This Row],[Weighted_Avg]]&lt;&gt;"", IFERROR(AVERAGE(M91,M79,M67), ""), "")</f>
        <v>0.31105646419349225</v>
      </c>
      <c r="O103" s="14" t="b">
        <f>IF(data[[#This Row],[Date]]&gt;MAX(data[Date])-750, TRUE, FALSE)</f>
        <v>0</v>
      </c>
      <c r="P103" s="3">
        <v>0.115</v>
      </c>
      <c r="Q103" s="3">
        <v>0.115</v>
      </c>
      <c r="R103">
        <v>2.5289999999999999</v>
      </c>
    </row>
    <row r="104" spans="1:18">
      <c r="A104" s="4">
        <v>40009</v>
      </c>
      <c r="B104">
        <f>YEAR(data[[#This Row],[Date]])</f>
        <v>2009</v>
      </c>
      <c r="C104" s="6">
        <f t="shared" si="5"/>
        <v>0.25</v>
      </c>
      <c r="D104" s="7">
        <f t="shared" si="3"/>
        <v>-0.06</v>
      </c>
      <c r="E104" s="7">
        <f t="shared" si="4"/>
        <v>0</v>
      </c>
      <c r="F104" s="10">
        <v>0</v>
      </c>
      <c r="G104" s="16">
        <f>AVERAGE(0.04,0.075)</f>
        <v>5.7499999999999996E-2</v>
      </c>
      <c r="H104" s="7">
        <v>0.06</v>
      </c>
      <c r="I104" s="7">
        <v>0</v>
      </c>
      <c r="J104" s="7">
        <v>0</v>
      </c>
      <c r="K104" s="7">
        <v>0</v>
      </c>
      <c r="L10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5.2499999999999998E-2</v>
      </c>
      <c r="M10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9.4364582545844192E-2</v>
      </c>
      <c r="N104" s="14">
        <f>IF(data[[#This Row],[Weighted_Avg]]&lt;&gt;"", IFERROR(AVERAGE(M92,M80,M68), ""), "")</f>
        <v>0.34311566240486013</v>
      </c>
      <c r="O104" s="14" t="b">
        <f>IF(data[[#This Row],[Date]]&gt;MAX(data[Date])-750, TRUE, FALSE)</f>
        <v>0</v>
      </c>
      <c r="P104" s="3">
        <v>0.115</v>
      </c>
      <c r="Q104" s="3">
        <v>0.115</v>
      </c>
      <c r="R104">
        <v>2.54</v>
      </c>
    </row>
    <row r="105" spans="1:18">
      <c r="A105" s="4">
        <v>40040</v>
      </c>
      <c r="B105">
        <f>YEAR(data[[#This Row],[Date]])</f>
        <v>2009</v>
      </c>
      <c r="C105" s="6">
        <f t="shared" si="5"/>
        <v>0.32</v>
      </c>
      <c r="D105" s="7">
        <f t="shared" si="3"/>
        <v>0.01</v>
      </c>
      <c r="E105" s="7">
        <f t="shared" si="4"/>
        <v>0</v>
      </c>
      <c r="F105" s="10">
        <v>4.5999999999999999E-2</v>
      </c>
      <c r="G105" s="16">
        <f>AVERAGE(0.06,0.075)</f>
        <v>6.7500000000000004E-2</v>
      </c>
      <c r="H105" s="7">
        <v>0.14000000000000001</v>
      </c>
      <c r="I105" s="7">
        <v>0.1</v>
      </c>
      <c r="J105" s="7">
        <v>0</v>
      </c>
      <c r="K105" s="7">
        <v>0.09</v>
      </c>
      <c r="L10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0.10907142857142857</v>
      </c>
      <c r="M10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0.14844290043617311</v>
      </c>
      <c r="N105" s="14">
        <f>IF(data[[#This Row],[Weighted_Avg]]&lt;&gt;"", IFERROR(AVERAGE(M93,M81,M69), ""), "")</f>
        <v>0.36151613864967125</v>
      </c>
      <c r="O105" s="14" t="b">
        <f>IF(data[[#This Row],[Date]]&gt;MAX(data[Date])-750, TRUE, FALSE)</f>
        <v>0</v>
      </c>
      <c r="P105" s="3">
        <v>0.13</v>
      </c>
      <c r="Q105" s="3">
        <v>0.13500000000000001</v>
      </c>
      <c r="R105">
        <v>2.6339999999999999</v>
      </c>
    </row>
    <row r="106" spans="1:18">
      <c r="A106" s="4">
        <v>40071</v>
      </c>
      <c r="B106">
        <f>YEAR(data[[#This Row],[Date]])</f>
        <v>2009</v>
      </c>
      <c r="C106" s="6">
        <f t="shared" si="5"/>
        <v>0.33</v>
      </c>
      <c r="D106" s="7">
        <f t="shared" si="3"/>
        <v>0.02</v>
      </c>
      <c r="E106" s="7">
        <f t="shared" si="4"/>
        <v>0</v>
      </c>
      <c r="F106" s="10">
        <v>5.1799999999999999E-2</v>
      </c>
      <c r="G106" s="16">
        <f>AVERAGE(0.075,0.09)</f>
        <v>8.249999999999999E-2</v>
      </c>
      <c r="H106" s="7">
        <v>0.14000000000000001</v>
      </c>
      <c r="I106" s="7">
        <v>0.11</v>
      </c>
      <c r="J106" s="7">
        <v>0</v>
      </c>
      <c r="K106" s="7">
        <v>0.09</v>
      </c>
      <c r="L10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0.1149</v>
      </c>
      <c r="M10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0.15542483412602676</v>
      </c>
      <c r="N106" s="14">
        <f>IF(data[[#This Row],[Weighted_Avg]]&lt;&gt;"", IFERROR(AVERAGE(M94,M82,M70), ""), "")</f>
        <v>0.37084222398461719</v>
      </c>
      <c r="O106" s="14" t="b">
        <f>IF(data[[#This Row],[Date]]&gt;MAX(data[Date])-750, TRUE, FALSE)</f>
        <v>0</v>
      </c>
      <c r="P106" s="3">
        <v>0.13</v>
      </c>
      <c r="Q106" s="3">
        <v>0.13500000000000001</v>
      </c>
      <c r="R106">
        <v>2.6259999999999999</v>
      </c>
    </row>
    <row r="107" spans="1:18">
      <c r="A107" s="4">
        <v>40101</v>
      </c>
      <c r="B107">
        <f>YEAR(data[[#This Row],[Date]])</f>
        <v>2009</v>
      </c>
      <c r="C107" s="6">
        <f t="shared" si="5"/>
        <v>0.35</v>
      </c>
      <c r="D107" s="7">
        <f t="shared" si="3"/>
        <v>0.04</v>
      </c>
      <c r="E107" s="7">
        <f t="shared" si="4"/>
        <v>0</v>
      </c>
      <c r="F107" s="10">
        <v>6.9000000000000006E-2</v>
      </c>
      <c r="G107" s="16">
        <f>AVERAGE(0.09,0.08)</f>
        <v>8.4999999999999992E-2</v>
      </c>
      <c r="H107" s="7">
        <v>0.16</v>
      </c>
      <c r="I107" s="7">
        <v>0.13</v>
      </c>
      <c r="J107" s="7">
        <v>0</v>
      </c>
      <c r="K107" s="7">
        <v>0.11</v>
      </c>
      <c r="L10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0.12914285714285714</v>
      </c>
      <c r="M10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0.16992178071700681</v>
      </c>
      <c r="N107" s="14">
        <f>IF(data[[#This Row],[Weighted_Avg]]&lt;&gt;"", IFERROR(AVERAGE(M95,M83,M71), ""), "")</f>
        <v>0.35009756991325564</v>
      </c>
      <c r="O107" s="14" t="b">
        <f>IF(data[[#This Row],[Date]]&gt;MAX(data[Date])-750, TRUE, FALSE)</f>
        <v>0</v>
      </c>
      <c r="P107" s="3">
        <v>0.13500000000000001</v>
      </c>
      <c r="Q107" s="3">
        <v>0.14000000000000001</v>
      </c>
      <c r="R107">
        <v>2.6720000000000002</v>
      </c>
    </row>
    <row r="108" spans="1:18">
      <c r="A108" s="4">
        <v>40132</v>
      </c>
      <c r="B108">
        <f>YEAR(data[[#This Row],[Date]])</f>
        <v>2009</v>
      </c>
      <c r="C108" s="6">
        <f t="shared" si="5"/>
        <v>0.35</v>
      </c>
      <c r="D108" s="7">
        <f t="shared" si="3"/>
        <v>0.04</v>
      </c>
      <c r="E108" s="7">
        <f t="shared" si="4"/>
        <v>0</v>
      </c>
      <c r="F108" s="10">
        <v>6.3299999999999995E-2</v>
      </c>
      <c r="G108" s="16">
        <f>AVERAGE(0.075,0.095)</f>
        <v>8.4999999999999992E-2</v>
      </c>
      <c r="H108" s="7">
        <v>0.16</v>
      </c>
      <c r="I108" s="7">
        <v>0.13</v>
      </c>
      <c r="J108" s="7">
        <v>0</v>
      </c>
      <c r="K108" s="7">
        <v>0.11</v>
      </c>
      <c r="L10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0.12832857142857143</v>
      </c>
      <c r="M10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0.16917445958249655</v>
      </c>
      <c r="N108" s="14">
        <f>IF(data[[#This Row],[Weighted_Avg]]&lt;&gt;"", IFERROR(AVERAGE(M96,M84,M72), ""), "")</f>
        <v>0.31995526455481044</v>
      </c>
      <c r="O108" s="14" t="b">
        <f>IF(data[[#This Row],[Date]]&gt;MAX(data[Date])-750, TRUE, FALSE)</f>
        <v>0</v>
      </c>
      <c r="P108" s="3">
        <v>0.13500000000000001</v>
      </c>
      <c r="Q108" s="3">
        <v>0.14499999999999999</v>
      </c>
      <c r="R108">
        <v>2.7919999999999998</v>
      </c>
    </row>
    <row r="109" spans="1:18">
      <c r="A109" s="4">
        <v>40162</v>
      </c>
      <c r="B109">
        <f>YEAR(data[[#This Row],[Date]])</f>
        <v>2009</v>
      </c>
      <c r="C109" s="6">
        <f t="shared" si="5"/>
        <v>0.36</v>
      </c>
      <c r="D109" s="7">
        <f t="shared" si="3"/>
        <v>0.05</v>
      </c>
      <c r="E109" s="7">
        <f t="shared" si="4"/>
        <v>0</v>
      </c>
      <c r="F109" s="10">
        <v>7.4800000000000005E-2</v>
      </c>
      <c r="G109" s="16">
        <f>AVERAGE(0.12,0.115)</f>
        <v>0.11749999999999999</v>
      </c>
      <c r="H109" s="7">
        <v>0.17</v>
      </c>
      <c r="I109" s="7">
        <v>0.14000000000000001</v>
      </c>
      <c r="J109" s="7">
        <v>0</v>
      </c>
      <c r="K109" s="7">
        <v>0.12</v>
      </c>
      <c r="L10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0.14032857142857144</v>
      </c>
      <c r="M10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0.18263571117253979</v>
      </c>
      <c r="N109" s="14">
        <f>IF(data[[#This Row],[Weighted_Avg]]&lt;&gt;"", IFERROR(AVERAGE(M97,M85,M73), ""), "")</f>
        <v>0.27917692363757157</v>
      </c>
      <c r="O109" s="14" t="b">
        <f>IF(data[[#This Row],[Date]]&gt;MAX(data[Date])-750, TRUE, FALSE)</f>
        <v>0</v>
      </c>
      <c r="P109" s="3">
        <v>0.13500000000000001</v>
      </c>
      <c r="Q109" s="3">
        <v>0.14499999999999999</v>
      </c>
      <c r="R109">
        <v>2.7450000000000001</v>
      </c>
    </row>
    <row r="110" spans="1:18">
      <c r="A110" s="4">
        <v>40193</v>
      </c>
      <c r="B110">
        <f>YEAR(data[[#This Row],[Date]])</f>
        <v>2010</v>
      </c>
      <c r="C110" s="6">
        <f t="shared" si="5"/>
        <v>0.39</v>
      </c>
      <c r="D110" s="7">
        <f t="shared" si="3"/>
        <v>0.08</v>
      </c>
      <c r="E110" s="7">
        <f t="shared" si="4"/>
        <v>0</v>
      </c>
      <c r="F110" s="10">
        <v>9.7799999999999998E-2</v>
      </c>
      <c r="G110" s="16">
        <f>AVERAGE(0.11,0.105)</f>
        <v>0.1075</v>
      </c>
      <c r="H110" s="7">
        <v>0.2</v>
      </c>
      <c r="I110" s="7">
        <v>0.17</v>
      </c>
      <c r="J110" s="7">
        <v>0</v>
      </c>
      <c r="K110" s="7">
        <v>0.14000000000000001</v>
      </c>
      <c r="L11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0.15790000000000001</v>
      </c>
      <c r="M11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0.20389502830428408</v>
      </c>
      <c r="N110" s="14">
        <f>IF(data[[#This Row],[Weighted_Avg]]&lt;&gt;"", IFERROR(AVERAGE(M98,M86,M74), ""), "")</f>
        <v>0.24865514247111609</v>
      </c>
      <c r="O110" s="14" t="b">
        <f>IF(data[[#This Row],[Date]]&gt;MAX(data[Date])-750, TRUE, FALSE)</f>
        <v>0</v>
      </c>
      <c r="P110" s="3">
        <v>0.14000000000000001</v>
      </c>
      <c r="Q110" s="3">
        <v>0.14499999999999999</v>
      </c>
      <c r="R110">
        <v>2.8450000000000002</v>
      </c>
    </row>
    <row r="111" spans="1:18">
      <c r="A111" s="4">
        <v>40224</v>
      </c>
      <c r="B111">
        <f>YEAR(data[[#This Row],[Date]])</f>
        <v>2010</v>
      </c>
      <c r="C111" s="6">
        <f t="shared" si="5"/>
        <v>0.38</v>
      </c>
      <c r="D111" s="7">
        <f t="shared" si="3"/>
        <v>7.0000000000000007E-2</v>
      </c>
      <c r="E111" s="7">
        <f t="shared" si="4"/>
        <v>0</v>
      </c>
      <c r="F111" s="10">
        <v>8.6300000000000002E-2</v>
      </c>
      <c r="G111" s="16">
        <f>AVERAGE(0.12,0.13)</f>
        <v>0.125</v>
      </c>
      <c r="H111" s="7">
        <v>0.19</v>
      </c>
      <c r="I111" s="7">
        <v>0.16</v>
      </c>
      <c r="J111" s="7">
        <v>0</v>
      </c>
      <c r="K111" s="7">
        <v>0.13</v>
      </c>
      <c r="L11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0.15304285714285712</v>
      </c>
      <c r="M11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0.19940639441078409</v>
      </c>
      <c r="N111" s="14">
        <f>IF(data[[#This Row],[Weighted_Avg]]&lt;&gt;"", IFERROR(AVERAGE(M99,M87,M75), ""), "")</f>
        <v>0.22441002841064295</v>
      </c>
      <c r="O111" s="14" t="b">
        <f>IF(data[[#This Row],[Date]]&gt;MAX(data[Date])-750, TRUE, FALSE)</f>
        <v>0</v>
      </c>
      <c r="P111" s="3">
        <v>0.14000000000000001</v>
      </c>
      <c r="Q111" s="3">
        <v>0.14499999999999999</v>
      </c>
      <c r="R111">
        <v>2.7850000000000001</v>
      </c>
    </row>
    <row r="112" spans="1:18">
      <c r="A112" s="4">
        <v>40252</v>
      </c>
      <c r="B112">
        <f>YEAR(data[[#This Row],[Date]])</f>
        <v>2010</v>
      </c>
      <c r="C112" s="6">
        <f t="shared" si="5"/>
        <v>0.4</v>
      </c>
      <c r="D112" s="7">
        <f t="shared" si="3"/>
        <v>0.09</v>
      </c>
      <c r="E112" s="7">
        <f t="shared" si="4"/>
        <v>0</v>
      </c>
      <c r="F112" s="20">
        <v>0.10929999999999999</v>
      </c>
      <c r="G112" s="16">
        <f>AVERAGE(0.12,0.115)</f>
        <v>0.11749999999999999</v>
      </c>
      <c r="H112" s="7">
        <v>0.22</v>
      </c>
      <c r="I112" s="7">
        <v>0.18</v>
      </c>
      <c r="J112" s="7">
        <v>0</v>
      </c>
      <c r="K112" s="7">
        <v>0.15</v>
      </c>
      <c r="L11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0.16811428571428569</v>
      </c>
      <c r="M11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0.21378054367493393</v>
      </c>
      <c r="N112" s="14">
        <f>IF(data[[#This Row],[Weighted_Avg]]&lt;&gt;"", IFERROR(AVERAGE(M100,M88,M76), ""), "")</f>
        <v>0.20188527090630859</v>
      </c>
      <c r="O112" s="14" t="b">
        <f>IF(data[[#This Row],[Date]]&gt;MAX(data[Date])-750, TRUE, FALSE)</f>
        <v>0</v>
      </c>
      <c r="P112" s="3">
        <v>0.14000000000000001</v>
      </c>
      <c r="Q112" s="3">
        <v>0.15</v>
      </c>
      <c r="R112">
        <v>2.915</v>
      </c>
    </row>
    <row r="113" spans="1:30">
      <c r="A113" s="4">
        <v>40283</v>
      </c>
      <c r="B113">
        <f>YEAR(data[[#This Row],[Date]])</f>
        <v>2010</v>
      </c>
      <c r="C113" s="6">
        <f t="shared" si="5"/>
        <v>0.39</v>
      </c>
      <c r="D113" s="7">
        <f t="shared" si="3"/>
        <v>0.08</v>
      </c>
      <c r="E113" s="7">
        <f t="shared" si="4"/>
        <v>0</v>
      </c>
      <c r="F113" s="20">
        <v>9.7799999999999998E-2</v>
      </c>
      <c r="G113" s="16">
        <f>AVERAGE(0.135,0.145)</f>
        <v>0.14000000000000001</v>
      </c>
      <c r="H113" s="7">
        <v>0.2</v>
      </c>
      <c r="I113" s="7">
        <v>0.17</v>
      </c>
      <c r="J113" s="7">
        <v>0</v>
      </c>
      <c r="K113" s="7">
        <v>0.14000000000000001</v>
      </c>
      <c r="L11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0.16254285714285716</v>
      </c>
      <c r="M11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0.20946144769754066</v>
      </c>
      <c r="N113" s="14">
        <f>IF(data[[#This Row],[Weighted_Avg]]&lt;&gt;"", IFERROR(AVERAGE(M101,M89,M77), ""), "")</f>
        <v>0.20167054527777883</v>
      </c>
      <c r="O113" s="14" t="b">
        <f>IF(data[[#This Row],[Date]]&gt;MAX(data[Date])-750, TRUE, FALSE)</f>
        <v>0</v>
      </c>
      <c r="P113" s="3">
        <v>0.14499999999999999</v>
      </c>
      <c r="Q113" s="3">
        <v>0.15</v>
      </c>
      <c r="R113">
        <v>3.0590000000000002</v>
      </c>
    </row>
    <row r="114" spans="1:30">
      <c r="A114" s="4">
        <v>40313</v>
      </c>
      <c r="B114">
        <f>YEAR(data[[#This Row],[Date]])</f>
        <v>2010</v>
      </c>
      <c r="C114" s="6">
        <f t="shared" si="5"/>
        <v>0.42</v>
      </c>
      <c r="D114" s="7">
        <f t="shared" si="3"/>
        <v>0.11</v>
      </c>
      <c r="E114" s="7">
        <f t="shared" si="4"/>
        <v>0</v>
      </c>
      <c r="F114" s="20">
        <v>0.1208</v>
      </c>
      <c r="G114" s="16">
        <f>AVERAGE(0.155,0.175)</f>
        <v>0.16499999999999998</v>
      </c>
      <c r="H114" s="7">
        <v>0.23</v>
      </c>
      <c r="I114" s="7">
        <v>0.2</v>
      </c>
      <c r="J114" s="7">
        <v>0</v>
      </c>
      <c r="K114" s="7">
        <v>0.17</v>
      </c>
      <c r="L11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0.18654285714285712</v>
      </c>
      <c r="M11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0.23477856895744104</v>
      </c>
      <c r="N114" s="14">
        <f>IF(data[[#This Row],[Weighted_Avg]]&lt;&gt;"", IFERROR(AVERAGE(M102,M90,M78), ""), "")</f>
        <v>0.23725766841648291</v>
      </c>
      <c r="O114" s="14" t="b">
        <f>IF(data[[#This Row],[Date]]&gt;MAX(data[Date])-750, TRUE, FALSE)</f>
        <v>0</v>
      </c>
      <c r="P114" s="3">
        <v>0.14499999999999999</v>
      </c>
      <c r="Q114" s="3">
        <v>0.155</v>
      </c>
      <c r="R114">
        <v>3.069</v>
      </c>
    </row>
    <row r="115" spans="1:30">
      <c r="A115" s="4">
        <v>40344</v>
      </c>
      <c r="B115">
        <f>YEAR(data[[#This Row],[Date]])</f>
        <v>2010</v>
      </c>
      <c r="C115" s="6">
        <f t="shared" si="5"/>
        <v>0.46</v>
      </c>
      <c r="D115" s="7">
        <f t="shared" si="3"/>
        <v>0.14000000000000001</v>
      </c>
      <c r="E115" s="7">
        <f t="shared" si="4"/>
        <v>0</v>
      </c>
      <c r="F115" s="20">
        <v>0.14949999999999999</v>
      </c>
      <c r="G115" s="16">
        <f>AVERAGE(0.185,0.17)</f>
        <v>0.17749999999999999</v>
      </c>
      <c r="H115" s="7">
        <v>0.27</v>
      </c>
      <c r="I115" s="7">
        <v>0.23</v>
      </c>
      <c r="J115" s="7">
        <v>0</v>
      </c>
      <c r="K115" s="7">
        <v>0.2</v>
      </c>
      <c r="L11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0.21242857142857141</v>
      </c>
      <c r="M11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0.26269544345419421</v>
      </c>
      <c r="N115" s="14">
        <f>IF(data[[#This Row],[Weighted_Avg]]&lt;&gt;"", IFERROR(AVERAGE(M103,M91,M79), ""), "")</f>
        <v>0.26586612183857378</v>
      </c>
      <c r="O115" s="14" t="b">
        <f>IF(data[[#This Row],[Date]]&gt;MAX(data[Date])-750, TRUE, FALSE)</f>
        <v>0</v>
      </c>
      <c r="P115" s="3">
        <v>0.14499999999999999</v>
      </c>
      <c r="Q115" s="3">
        <v>0.155</v>
      </c>
      <c r="R115">
        <v>2.948</v>
      </c>
    </row>
    <row r="116" spans="1:30">
      <c r="A116" s="4">
        <v>40374</v>
      </c>
      <c r="B116">
        <f>YEAR(data[[#This Row],[Date]])</f>
        <v>2010</v>
      </c>
      <c r="C116" s="6">
        <f t="shared" si="5"/>
        <v>0.46</v>
      </c>
      <c r="D116" s="7">
        <f t="shared" si="3"/>
        <v>0.15</v>
      </c>
      <c r="E116" s="7">
        <f t="shared" si="4"/>
        <v>0</v>
      </c>
      <c r="F116" s="20">
        <v>0.14949999999999999</v>
      </c>
      <c r="G116" s="16">
        <f>AVERAGE(0.15,0.145)</f>
        <v>0.14749999999999999</v>
      </c>
      <c r="H116" s="7">
        <v>0.27</v>
      </c>
      <c r="I116" s="7">
        <v>0.24</v>
      </c>
      <c r="J116" s="7">
        <v>0</v>
      </c>
      <c r="K116" s="7">
        <v>0.2</v>
      </c>
      <c r="L11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0.20957142857142858</v>
      </c>
      <c r="M11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0.2577764619797997</v>
      </c>
      <c r="N116" s="14">
        <f>IF(data[[#This Row],[Weighted_Avg]]&lt;&gt;"", IFERROR(AVERAGE(M104,M92,M80), ""), "")</f>
        <v>0.28965856658680816</v>
      </c>
      <c r="O116" s="14" t="b">
        <f>IF(data[[#This Row],[Date]]&gt;MAX(data[Date])-750, TRUE, FALSE)</f>
        <v>0</v>
      </c>
      <c r="P116" s="3">
        <v>0.15</v>
      </c>
      <c r="Q116" s="3">
        <v>0.155</v>
      </c>
      <c r="R116">
        <v>2.911</v>
      </c>
    </row>
    <row r="117" spans="1:30">
      <c r="A117" s="4">
        <v>40405</v>
      </c>
      <c r="B117">
        <f>YEAR(data[[#This Row],[Date]])</f>
        <v>2010</v>
      </c>
      <c r="C117" s="6">
        <f t="shared" si="5"/>
        <v>0.43</v>
      </c>
      <c r="D117" s="7">
        <f t="shared" si="3"/>
        <v>0.12</v>
      </c>
      <c r="E117" s="7">
        <f t="shared" si="4"/>
        <v>0</v>
      </c>
      <c r="F117" s="20">
        <v>0.1265</v>
      </c>
      <c r="G117" s="16">
        <f>AVERAGE(0.14,0.145)</f>
        <v>0.14250000000000002</v>
      </c>
      <c r="H117" s="7">
        <v>0.24</v>
      </c>
      <c r="I117" s="7">
        <v>0.21</v>
      </c>
      <c r="J117" s="7">
        <v>0</v>
      </c>
      <c r="K117" s="7">
        <v>0.17</v>
      </c>
      <c r="L11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0.18842857142857142</v>
      </c>
      <c r="M11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0.23588482957728804</v>
      </c>
      <c r="N117" s="14">
        <f>IF(data[[#This Row],[Weighted_Avg]]&lt;&gt;"", IFERROR(AVERAGE(M105,M93,M81), ""), "")</f>
        <v>0.32584764879506234</v>
      </c>
      <c r="O117" s="14" t="b">
        <f>IF(data[[#This Row],[Date]]&gt;MAX(data[Date])-750, TRUE, FALSE)</f>
        <v>0</v>
      </c>
      <c r="P117" s="3">
        <v>0.15</v>
      </c>
      <c r="Q117" s="3">
        <v>0.16</v>
      </c>
      <c r="R117">
        <v>2.9590000000000001</v>
      </c>
    </row>
    <row r="118" spans="1:30">
      <c r="A118" s="4">
        <v>40436</v>
      </c>
      <c r="B118">
        <f>YEAR(data[[#This Row],[Date]])</f>
        <v>2010</v>
      </c>
      <c r="C118" s="6">
        <f t="shared" si="5"/>
        <v>0.42</v>
      </c>
      <c r="D118" s="7">
        <f t="shared" si="3"/>
        <v>0.11</v>
      </c>
      <c r="E118" s="7">
        <f t="shared" si="4"/>
        <v>0</v>
      </c>
      <c r="F118" s="20">
        <v>0.1208</v>
      </c>
      <c r="G118" s="16">
        <f>AVERAGE(0.15,0.15)</f>
        <v>0.15</v>
      </c>
      <c r="H118" s="7">
        <v>0.23</v>
      </c>
      <c r="I118" s="7">
        <v>0.2</v>
      </c>
      <c r="J118" s="7">
        <v>0</v>
      </c>
      <c r="K118" s="7">
        <v>0.17</v>
      </c>
      <c r="L11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0.18439999999999998</v>
      </c>
      <c r="M11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0.23220945231439954</v>
      </c>
      <c r="N118" s="14">
        <f>IF(data[[#This Row],[Weighted_Avg]]&lt;&gt;"", IFERROR(AVERAGE(M106,M94,M82), ""), "")</f>
        <v>0.33462774935995948</v>
      </c>
      <c r="O118" s="14" t="b">
        <f>IF(data[[#This Row],[Date]]&gt;MAX(data[Date])-750, TRUE, FALSE)</f>
        <v>0</v>
      </c>
      <c r="P118" s="3">
        <v>0.155</v>
      </c>
      <c r="Q118" s="3">
        <v>0.16</v>
      </c>
      <c r="R118">
        <v>2.9460000000000002</v>
      </c>
    </row>
    <row r="119" spans="1:30">
      <c r="A119" s="4">
        <v>40466</v>
      </c>
      <c r="B119">
        <f>YEAR(data[[#This Row],[Date]])</f>
        <v>2010</v>
      </c>
      <c r="C119" s="6">
        <f t="shared" si="5"/>
        <v>0.43</v>
      </c>
      <c r="D119" s="7">
        <f t="shared" si="3"/>
        <v>0.12</v>
      </c>
      <c r="E119" s="7">
        <f t="shared" si="4"/>
        <v>0</v>
      </c>
      <c r="F119" s="20">
        <v>0.1265</v>
      </c>
      <c r="G119" s="16">
        <f>AVERAGE(0.145,0.15)</f>
        <v>0.14749999999999999</v>
      </c>
      <c r="H119" s="7">
        <v>0.24</v>
      </c>
      <c r="I119" s="7">
        <v>0.21</v>
      </c>
      <c r="J119" s="7">
        <v>0</v>
      </c>
      <c r="K119" s="7">
        <v>0.18</v>
      </c>
      <c r="L11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0.19057142857142856</v>
      </c>
      <c r="M11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0.23854974298056819</v>
      </c>
      <c r="N119" s="14">
        <f>IF(data[[#This Row],[Weighted_Avg]]&lt;&gt;"", IFERROR(AVERAGE(M107,M95,M83), ""), "")</f>
        <v>0.31218721681892458</v>
      </c>
      <c r="O119" s="14" t="b">
        <f>IF(data[[#This Row],[Date]]&gt;MAX(data[Date])-750, TRUE, FALSE)</f>
        <v>0</v>
      </c>
      <c r="P119" s="3">
        <v>0.155</v>
      </c>
      <c r="Q119" s="3">
        <v>0.16500000000000001</v>
      </c>
      <c r="R119">
        <v>3.052</v>
      </c>
    </row>
    <row r="120" spans="1:30">
      <c r="A120" s="4">
        <v>40497</v>
      </c>
      <c r="B120">
        <f>YEAR(data[[#This Row],[Date]])</f>
        <v>2010</v>
      </c>
      <c r="C120" s="6">
        <f t="shared" si="5"/>
        <v>0.43</v>
      </c>
      <c r="D120" s="7">
        <f t="shared" si="3"/>
        <v>0.12</v>
      </c>
      <c r="E120" s="7">
        <f t="shared" si="4"/>
        <v>0</v>
      </c>
      <c r="F120" s="20">
        <v>0.1265</v>
      </c>
      <c r="G120" s="16">
        <f>AVERAGE(0.175,0.16)</f>
        <v>0.16749999999999998</v>
      </c>
      <c r="H120" s="7">
        <v>0.24</v>
      </c>
      <c r="I120" s="7">
        <v>0.21</v>
      </c>
      <c r="J120" s="7">
        <v>0</v>
      </c>
      <c r="K120" s="7">
        <v>0.17</v>
      </c>
      <c r="L12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0.19199999999999998</v>
      </c>
      <c r="M12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0.24016669064902385</v>
      </c>
      <c r="N120" s="14">
        <f>IF(data[[#This Row],[Weighted_Avg]]&lt;&gt;"", IFERROR(AVERAGE(M108,M96,M84), ""), "")</f>
        <v>0.29845578841564252</v>
      </c>
      <c r="O120" s="14" t="b">
        <f>IF(data[[#This Row],[Date]]&gt;MAX(data[Date])-750, TRUE, FALSE)</f>
        <v>0</v>
      </c>
      <c r="P120" s="3">
        <v>0.155</v>
      </c>
      <c r="Q120" s="3">
        <v>0.16500000000000001</v>
      </c>
      <c r="R120">
        <v>3.14</v>
      </c>
    </row>
    <row r="121" spans="1:30">
      <c r="A121" s="4">
        <v>40527</v>
      </c>
      <c r="B121">
        <f>YEAR(data[[#This Row],[Date]])</f>
        <v>2010</v>
      </c>
      <c r="C121" s="6">
        <f t="shared" si="5"/>
        <v>0.46</v>
      </c>
      <c r="D121" s="7">
        <f t="shared" si="3"/>
        <v>0.14000000000000001</v>
      </c>
      <c r="E121" s="7">
        <f t="shared" si="4"/>
        <v>0</v>
      </c>
      <c r="F121" s="20">
        <v>0.14949999999999999</v>
      </c>
      <c r="G121" s="16">
        <f>AVERAGE(0.195,0.18)</f>
        <v>0.1875</v>
      </c>
      <c r="H121" s="7">
        <v>0.27</v>
      </c>
      <c r="I121" s="7">
        <v>0.23</v>
      </c>
      <c r="J121" s="7">
        <v>0</v>
      </c>
      <c r="K121" s="7">
        <v>0.2</v>
      </c>
      <c r="L12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0.21385714285714288</v>
      </c>
      <c r="M12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0.2644081878828885</v>
      </c>
      <c r="N121" s="14">
        <f>IF(data[[#This Row],[Weighted_Avg]]&lt;&gt;"", IFERROR(AVERAGE(M109,M97,M85), ""), "")</f>
        <v>0.28069548002841821</v>
      </c>
      <c r="O121" s="14" t="b">
        <f>IF(data[[#This Row],[Date]]&gt;MAX(data[Date])-750, TRUE, FALSE)</f>
        <v>0</v>
      </c>
      <c r="P121" s="3">
        <v>0.16</v>
      </c>
      <c r="Q121" s="3">
        <v>0.16500000000000001</v>
      </c>
      <c r="R121">
        <v>3.2429999999999999</v>
      </c>
    </row>
    <row r="122" spans="1:30">
      <c r="A122" s="4">
        <v>40558</v>
      </c>
      <c r="B122">
        <f>YEAR(data[[#This Row],[Date]])</f>
        <v>2011</v>
      </c>
      <c r="C122" s="6">
        <f t="shared" si="5"/>
        <v>0.48</v>
      </c>
      <c r="D122" s="7">
        <f t="shared" si="3"/>
        <v>0.17</v>
      </c>
      <c r="E122" s="7">
        <f t="shared" si="4"/>
        <v>0</v>
      </c>
      <c r="F122" s="20">
        <v>0.1668</v>
      </c>
      <c r="G122" s="16">
        <f>AVERAGE(0.195,0.21)</f>
        <v>0.20250000000000001</v>
      </c>
      <c r="H122" s="7">
        <v>0.28999999999999998</v>
      </c>
      <c r="I122" s="7">
        <v>0.26</v>
      </c>
      <c r="J122" s="7">
        <v>0</v>
      </c>
      <c r="K122" s="7">
        <v>0.21</v>
      </c>
      <c r="L12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0.22989999999999999</v>
      </c>
      <c r="M12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0.2820631847897761</v>
      </c>
      <c r="N122" s="14">
        <f>IF(data[[#This Row],[Weighted_Avg]]&lt;&gt;"", IFERROR(AVERAGE(M110,M98,M86), ""), "")</f>
        <v>0.25456264523921074</v>
      </c>
      <c r="O122" s="14" t="b">
        <f>IF(data[[#This Row],[Date]]&gt;MAX(data[Date])-750, TRUE, FALSE)</f>
        <v>0</v>
      </c>
      <c r="P122" s="3">
        <v>0.16</v>
      </c>
      <c r="Q122" s="3">
        <v>0.17</v>
      </c>
      <c r="R122">
        <v>3.3879999999999999</v>
      </c>
    </row>
    <row r="123" spans="1:30">
      <c r="A123" s="4">
        <v>40589</v>
      </c>
      <c r="B123">
        <f>YEAR(data[[#This Row],[Date]])</f>
        <v>2011</v>
      </c>
      <c r="C123" s="6">
        <f t="shared" si="5"/>
        <v>0.5</v>
      </c>
      <c r="D123" s="7">
        <f t="shared" si="3"/>
        <v>0.19</v>
      </c>
      <c r="E123" s="7">
        <f t="shared" si="4"/>
        <v>0</v>
      </c>
      <c r="F123" s="20">
        <v>0.184</v>
      </c>
      <c r="G123" s="16">
        <f>AVERAGE(0.245,0.23)</f>
        <v>0.23749999999999999</v>
      </c>
      <c r="H123" s="7">
        <v>0.32</v>
      </c>
      <c r="I123" s="7">
        <v>0.28000000000000003</v>
      </c>
      <c r="J123" s="7">
        <v>0</v>
      </c>
      <c r="K123" s="7">
        <v>0.23</v>
      </c>
      <c r="L12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0.25021428571428572</v>
      </c>
      <c r="M12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0.30297165604295534</v>
      </c>
      <c r="N123" s="14">
        <f>IF(data[[#This Row],[Weighted_Avg]]&lt;&gt;"", IFERROR(AVERAGE(M111,M99,M87), ""), "")</f>
        <v>0.2235194332142377</v>
      </c>
      <c r="O123" s="14" t="b">
        <f>IF(data[[#This Row],[Date]]&gt;MAX(data[Date])-750, TRUE, FALSE)</f>
        <v>0</v>
      </c>
      <c r="P123" s="3">
        <v>0.16500000000000001</v>
      </c>
      <c r="Q123" s="3">
        <v>0.17</v>
      </c>
      <c r="R123">
        <v>3.5840000000000001</v>
      </c>
    </row>
    <row r="124" spans="1:30">
      <c r="A124" s="4">
        <v>40617</v>
      </c>
      <c r="B124">
        <f>YEAR(data[[#This Row],[Date]])</f>
        <v>2011</v>
      </c>
      <c r="C124" s="6">
        <f t="shared" si="5"/>
        <v>0.54</v>
      </c>
      <c r="D124" s="7">
        <f t="shared" si="3"/>
        <v>0.23</v>
      </c>
      <c r="E124" s="7">
        <f t="shared" si="4"/>
        <v>0.04</v>
      </c>
      <c r="F124" s="20">
        <v>0.21279999999999999</v>
      </c>
      <c r="G124" s="16">
        <f>AVERAGE(0.26,0.27)</f>
        <v>0.26500000000000001</v>
      </c>
      <c r="H124" s="7">
        <v>0.35</v>
      </c>
      <c r="I124" s="7">
        <v>0.32</v>
      </c>
      <c r="J124" s="7">
        <v>0</v>
      </c>
      <c r="K124" s="7">
        <v>0.26</v>
      </c>
      <c r="L12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0.23397142857142855</v>
      </c>
      <c r="M12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0.22689206254906269</v>
      </c>
      <c r="N124" s="14">
        <f>IF(data[[#This Row],[Weighted_Avg]]&lt;&gt;"", IFERROR(AVERAGE(M112,M100,M88), ""), "")</f>
        <v>0.21557749879795321</v>
      </c>
      <c r="O124" s="14" t="b">
        <f>IF(data[[#This Row],[Date]]&gt;MAX(data[Date])-750, TRUE, FALSE)</f>
        <v>0</v>
      </c>
      <c r="P124" s="3">
        <v>0.16500000000000001</v>
      </c>
      <c r="Q124" s="3">
        <v>0.17499999999999999</v>
      </c>
      <c r="R124">
        <v>3.9049999999999998</v>
      </c>
    </row>
    <row r="125" spans="1:30">
      <c r="A125" s="4">
        <v>40648</v>
      </c>
      <c r="B125">
        <f>YEAR(data[[#This Row],[Date]])</f>
        <v>2011</v>
      </c>
      <c r="C125" s="6">
        <f t="shared" si="5"/>
        <v>0.59</v>
      </c>
      <c r="D125" s="7">
        <f t="shared" ref="D125:D188" si="6">IF(R123&gt;2.5,ROUNDDOWN((R123-2.5)/0.04,0)+1,ROUNDUP((R123-2.5)/0.04,0)+1)/100</f>
        <v>0.28000000000000003</v>
      </c>
      <c r="E125" s="7">
        <f t="shared" si="4"/>
        <v>0.09</v>
      </c>
      <c r="F125" s="20">
        <v>0.24729999999999999</v>
      </c>
      <c r="G125" s="16">
        <f>AVERAGE(0.325,0.35)</f>
        <v>0.33750000000000002</v>
      </c>
      <c r="H125" s="7">
        <v>0.4</v>
      </c>
      <c r="I125" s="7">
        <v>0.37</v>
      </c>
      <c r="J125" s="7">
        <v>0</v>
      </c>
      <c r="K125" s="7">
        <v>0.3</v>
      </c>
      <c r="L12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0.27640000000000003</v>
      </c>
      <c r="M12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0.27217886161961885</v>
      </c>
      <c r="N125" s="14">
        <f>IF(data[[#This Row],[Weighted_Avg]]&lt;&gt;"", IFERROR(AVERAGE(M113,M101,M89), ""), "")</f>
        <v>0.21351507451029239</v>
      </c>
      <c r="O125" s="14" t="b">
        <f>IF(data[[#This Row],[Date]]&gt;MAX(data[Date])-750, TRUE, FALSE)</f>
        <v>0</v>
      </c>
      <c r="P125" s="3">
        <v>0.17</v>
      </c>
      <c r="Q125" s="3">
        <v>0.17499999999999999</v>
      </c>
      <c r="R125">
        <v>4.0640000000000001</v>
      </c>
    </row>
    <row r="126" spans="1:30">
      <c r="A126" s="4">
        <v>40678</v>
      </c>
      <c r="B126">
        <f>YEAR(data[[#This Row],[Date]])</f>
        <v>2011</v>
      </c>
      <c r="C126" s="6">
        <f t="shared" si="5"/>
        <v>0.67</v>
      </c>
      <c r="D126" s="7">
        <f t="shared" si="6"/>
        <v>0.36</v>
      </c>
      <c r="E126" s="7">
        <f t="shared" si="4"/>
        <v>0.17</v>
      </c>
      <c r="F126" s="20">
        <v>0.3105</v>
      </c>
      <c r="G126" s="16">
        <f>AVERAGE(0.355,0.385)</f>
        <v>0.37</v>
      </c>
      <c r="H126" s="7">
        <v>0.48</v>
      </c>
      <c r="I126" s="7">
        <v>0.45</v>
      </c>
      <c r="J126" s="7">
        <v>0</v>
      </c>
      <c r="K126" s="7">
        <v>0.37</v>
      </c>
      <c r="L12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0.33435714285714285</v>
      </c>
      <c r="M12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0.33261392470248374</v>
      </c>
      <c r="N126" s="14">
        <f>IF(data[[#This Row],[Weighted_Avg]]&lt;&gt;"", IFERROR(AVERAGE(M114,M102,M90), ""), "")</f>
        <v>0.24425444473562993</v>
      </c>
      <c r="O126" s="14" t="b">
        <f>IF(data[[#This Row],[Date]]&gt;MAX(data[Date])-750, TRUE, FALSE)</f>
        <v>0</v>
      </c>
      <c r="P126" s="3">
        <v>0.17</v>
      </c>
      <c r="Q126" s="3">
        <v>0.17499999999999999</v>
      </c>
      <c r="R126">
        <v>4.0469999999999997</v>
      </c>
    </row>
    <row r="127" spans="1:30">
      <c r="A127" s="4">
        <v>40709</v>
      </c>
      <c r="B127">
        <f>YEAR(data[[#This Row],[Date]])</f>
        <v>2011</v>
      </c>
      <c r="C127" s="6">
        <f t="shared" si="5"/>
        <v>0.71</v>
      </c>
      <c r="D127" s="7">
        <f t="shared" si="6"/>
        <v>0.4</v>
      </c>
      <c r="E127" s="7">
        <f t="shared" si="4"/>
        <v>0.21</v>
      </c>
      <c r="F127" s="20">
        <v>0.33929999999999999</v>
      </c>
      <c r="G127" s="16">
        <f>AVERAGE(0.39,0.375)</f>
        <v>0.38250000000000001</v>
      </c>
      <c r="H127" s="7">
        <v>0.52</v>
      </c>
      <c r="I127" s="7">
        <v>0.49</v>
      </c>
      <c r="J127" s="7">
        <v>0</v>
      </c>
      <c r="K127" s="7">
        <v>0.4</v>
      </c>
      <c r="L12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0.36168571428571428</v>
      </c>
      <c r="M12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0.36092844996388984</v>
      </c>
      <c r="N127" s="14">
        <f>IF(data[[#This Row],[Weighted_Avg]]&lt;&gt;"", IFERROR(AVERAGE(M115,M103,M91), ""), "")</f>
        <v>0.27138173965663853</v>
      </c>
      <c r="O127" s="14" t="b">
        <f>IF(data[[#This Row],[Date]]&gt;MAX(data[Date])-750, TRUE, FALSE)</f>
        <v>0</v>
      </c>
      <c r="P127" s="3">
        <v>0.17</v>
      </c>
      <c r="Q127" s="3">
        <v>0.18</v>
      </c>
      <c r="R127">
        <v>3.9329999999999998</v>
      </c>
      <c r="AC127" s="5"/>
      <c r="AD127" s="5"/>
    </row>
    <row r="128" spans="1:30">
      <c r="A128" s="4">
        <v>40739</v>
      </c>
      <c r="B128">
        <f>YEAR(data[[#This Row],[Date]])</f>
        <v>2011</v>
      </c>
      <c r="C128" s="6">
        <f t="shared" si="5"/>
        <v>0.7</v>
      </c>
      <c r="D128" s="7">
        <f t="shared" si="6"/>
        <v>0.39</v>
      </c>
      <c r="E128" s="7">
        <f t="shared" si="4"/>
        <v>0.2</v>
      </c>
      <c r="F128" s="20">
        <v>0.33929999999999999</v>
      </c>
      <c r="G128" s="16">
        <f>AVERAGE(0.355,0.355)</f>
        <v>0.35499999999999998</v>
      </c>
      <c r="H128" s="7">
        <v>0.52</v>
      </c>
      <c r="I128" s="7">
        <v>0.48</v>
      </c>
      <c r="J128" s="7">
        <v>0</v>
      </c>
      <c r="K128" s="7">
        <v>0.39</v>
      </c>
      <c r="L12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0.35347142857142855</v>
      </c>
      <c r="M12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0.35078662027820517</v>
      </c>
      <c r="N128" s="14">
        <f>IF(data[[#This Row],[Weighted_Avg]]&lt;&gt;"", IFERROR(AVERAGE(M116,M104,M92), ""), "")</f>
        <v>0.29662746724674144</v>
      </c>
      <c r="O128" s="14" t="b">
        <f>IF(data[[#This Row],[Date]]&gt;MAX(data[Date])-750, TRUE, FALSE)</f>
        <v>0</v>
      </c>
      <c r="P128" s="3">
        <v>0.17499999999999999</v>
      </c>
      <c r="Q128" s="3">
        <v>0.18</v>
      </c>
      <c r="R128">
        <v>3.9049999999999998</v>
      </c>
    </row>
    <row r="129" spans="1:29">
      <c r="A129" s="4">
        <v>40770</v>
      </c>
      <c r="B129">
        <f>YEAR(data[[#This Row],[Date]])</f>
        <v>2011</v>
      </c>
      <c r="C129" s="6">
        <f t="shared" si="5"/>
        <v>0.68</v>
      </c>
      <c r="D129" s="7">
        <f t="shared" si="6"/>
        <v>0.36</v>
      </c>
      <c r="E129" s="7">
        <f t="shared" si="4"/>
        <v>0.18</v>
      </c>
      <c r="F129" s="20">
        <v>0.31630000000000003</v>
      </c>
      <c r="G129" s="16">
        <f>AVERAGE(0.34,0.355)</f>
        <v>0.34750000000000003</v>
      </c>
      <c r="H129" s="7">
        <v>0.49</v>
      </c>
      <c r="I129" s="7">
        <v>0.45</v>
      </c>
      <c r="J129" s="7">
        <v>0</v>
      </c>
      <c r="K129" s="7">
        <v>0.37</v>
      </c>
      <c r="L12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0.33340000000000003</v>
      </c>
      <c r="M12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0.33015180349797468</v>
      </c>
      <c r="N129" s="14">
        <f>IF(data[[#This Row],[Weighted_Avg]]&lt;&gt;"", IFERROR(AVERAGE(M117,M105,M93), ""), "")</f>
        <v>0.32423739532082502</v>
      </c>
      <c r="O129" s="14" t="b">
        <f>IF(data[[#This Row],[Date]]&gt;MAX(data[Date])-750, TRUE, FALSE)</f>
        <v>0</v>
      </c>
      <c r="P129" s="3">
        <v>0.17499999999999999</v>
      </c>
      <c r="Q129" s="3">
        <v>0.185</v>
      </c>
      <c r="R129">
        <v>3.86</v>
      </c>
    </row>
    <row r="130" spans="1:29">
      <c r="A130" s="4">
        <v>40801</v>
      </c>
      <c r="B130">
        <f>YEAR(data[[#This Row],[Date]])</f>
        <v>2011</v>
      </c>
      <c r="C130" s="6">
        <f t="shared" si="5"/>
        <v>0.67</v>
      </c>
      <c r="D130" s="7">
        <f t="shared" si="6"/>
        <v>0.36</v>
      </c>
      <c r="E130" s="7">
        <f t="shared" si="4"/>
        <v>0.17</v>
      </c>
      <c r="F130" s="20">
        <v>0.3105</v>
      </c>
      <c r="G130" s="16">
        <f>AVERAGE(0.35,0.33)</f>
        <v>0.33999999999999997</v>
      </c>
      <c r="H130" s="7">
        <v>0.48</v>
      </c>
      <c r="I130" s="7">
        <v>0.45</v>
      </c>
      <c r="J130" s="7">
        <v>0</v>
      </c>
      <c r="K130" s="7">
        <v>0.37</v>
      </c>
      <c r="L13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0.33007142857142852</v>
      </c>
      <c r="M13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0.32753842622539014</v>
      </c>
      <c r="N130" s="14">
        <f>IF(data[[#This Row],[Weighted_Avg]]&lt;&gt;"", IFERROR(AVERAGE(M118,M106,M94), ""), "")</f>
        <v>0.32791082679809264</v>
      </c>
      <c r="O130" s="14" t="b">
        <f>IF(data[[#This Row],[Date]]&gt;MAX(data[Date])-750, TRUE, FALSE)</f>
        <v>0</v>
      </c>
      <c r="P130" s="3">
        <v>0.18</v>
      </c>
      <c r="Q130" s="3">
        <v>0.185</v>
      </c>
      <c r="R130">
        <v>3.8370000000000002</v>
      </c>
      <c r="AC130" s="5"/>
    </row>
    <row r="131" spans="1:29">
      <c r="A131" s="4">
        <v>40831</v>
      </c>
      <c r="B131">
        <f>YEAR(data[[#This Row],[Date]])</f>
        <v>2011</v>
      </c>
      <c r="C131" s="6">
        <f t="shared" si="5"/>
        <v>0.66</v>
      </c>
      <c r="D131" s="7">
        <f t="shared" si="6"/>
        <v>0.35</v>
      </c>
      <c r="E131" s="7">
        <f t="shared" si="4"/>
        <v>0.16</v>
      </c>
      <c r="F131" s="20">
        <v>0.30480000000000002</v>
      </c>
      <c r="G131" s="16">
        <f>AVERAGE(0.335,0.335)</f>
        <v>0.33500000000000002</v>
      </c>
      <c r="H131" s="7">
        <v>0.47</v>
      </c>
      <c r="I131" s="7">
        <v>0.44</v>
      </c>
      <c r="J131" s="7">
        <v>0</v>
      </c>
      <c r="K131" s="7">
        <v>0.36</v>
      </c>
      <c r="L13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0.32282857142857141</v>
      </c>
      <c r="M13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0.31987123295757847</v>
      </c>
      <c r="N131" s="14">
        <f>IF(data[[#This Row],[Weighted_Avg]]&lt;&gt;"", IFERROR(AVERAGE(M119,M107,M95), ""), "")</f>
        <v>0.30753092447911395</v>
      </c>
      <c r="O131" s="14" t="b">
        <f>IF(data[[#This Row],[Date]]&gt;MAX(data[Date])-750, TRUE, FALSE)</f>
        <v>0</v>
      </c>
      <c r="P131" s="3">
        <v>0.18</v>
      </c>
      <c r="Q131" s="3">
        <v>0.185</v>
      </c>
      <c r="R131">
        <v>3.798</v>
      </c>
    </row>
    <row r="132" spans="1:29">
      <c r="A132" s="4">
        <v>40862</v>
      </c>
      <c r="B132">
        <f>YEAR(data[[#This Row],[Date]])</f>
        <v>2011</v>
      </c>
      <c r="C132" s="6">
        <f t="shared" si="5"/>
        <v>0.65</v>
      </c>
      <c r="D132" s="7">
        <f t="shared" si="6"/>
        <v>0.34</v>
      </c>
      <c r="E132" s="7">
        <f t="shared" ref="E132:E195" si="7">IF(R130&gt;3.25, ROUNDDOWN((R130-3.25)/0.04, 0)+1, 0)/100</f>
        <v>0.15</v>
      </c>
      <c r="F132" s="20">
        <v>0.29899999999999999</v>
      </c>
      <c r="G132" s="16">
        <f>AVERAGE(0.31,0.33)</f>
        <v>0.32</v>
      </c>
      <c r="H132" s="7">
        <v>0.46</v>
      </c>
      <c r="I132" s="7">
        <v>0.43</v>
      </c>
      <c r="J132" s="7">
        <v>0</v>
      </c>
      <c r="K132" s="7">
        <v>0.35</v>
      </c>
      <c r="L13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0.31414285714285711</v>
      </c>
      <c r="M13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0.31049969165070496</v>
      </c>
      <c r="N132" s="14">
        <f>IF(data[[#This Row],[Weighted_Avg]]&lt;&gt;"", IFERROR(AVERAGE(M120,M108,M96), ""), "")</f>
        <v>0.28861498196531715</v>
      </c>
      <c r="O132" s="14" t="b">
        <f>IF(data[[#This Row],[Date]]&gt;MAX(data[Date])-750, TRUE, FALSE)</f>
        <v>0</v>
      </c>
      <c r="P132" s="3">
        <v>0.185</v>
      </c>
      <c r="Q132" s="3">
        <v>0.19</v>
      </c>
      <c r="R132">
        <v>3.9620000000000002</v>
      </c>
    </row>
    <row r="133" spans="1:29">
      <c r="A133" s="4">
        <v>40892</v>
      </c>
      <c r="B133">
        <f>YEAR(data[[#This Row],[Date]])</f>
        <v>2011</v>
      </c>
      <c r="C133" s="6">
        <f t="shared" si="5"/>
        <v>0.64</v>
      </c>
      <c r="D133" s="7">
        <f t="shared" si="6"/>
        <v>0.33</v>
      </c>
      <c r="E133" s="7">
        <f t="shared" si="7"/>
        <v>0.14000000000000001</v>
      </c>
      <c r="F133" s="20">
        <v>0.28749999999999998</v>
      </c>
      <c r="G133" s="16">
        <f>AVERAGE(0.345,0.365)</f>
        <v>0.35499999999999998</v>
      </c>
      <c r="H133" s="7">
        <v>0.45</v>
      </c>
      <c r="I133" s="7">
        <v>0.42</v>
      </c>
      <c r="J133" s="7">
        <v>0</v>
      </c>
      <c r="K133" s="7">
        <v>0.34</v>
      </c>
      <c r="L13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0.31178571428571422</v>
      </c>
      <c r="M13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0.30887394731057871</v>
      </c>
      <c r="N133" s="14">
        <f>IF(data[[#This Row],[Weighted_Avg]]&lt;&gt;"", IFERROR(AVERAGE(M121,M109,M97), ""), "")</f>
        <v>0.27121733265604769</v>
      </c>
      <c r="O133" s="14" t="b">
        <f>IF(data[[#This Row],[Date]]&gt;MAX(data[Date])-750, TRUE, FALSE)</f>
        <v>0</v>
      </c>
      <c r="P133" s="3">
        <v>0.185</v>
      </c>
      <c r="Q133" s="3">
        <v>0.19</v>
      </c>
      <c r="R133">
        <v>3.8610000000000002</v>
      </c>
      <c r="AC133" s="5"/>
    </row>
    <row r="134" spans="1:29">
      <c r="A134" s="4">
        <v>40923</v>
      </c>
      <c r="B134">
        <f>YEAR(data[[#This Row],[Date]])</f>
        <v>2012</v>
      </c>
      <c r="C134" s="6">
        <f t="shared" ref="C134:C197" si="8">IF(R132&gt;1.25, ROUNDDOWN((R132-1.25)/0.04, 0)+1, 0)/100</f>
        <v>0.68</v>
      </c>
      <c r="D134" s="7">
        <f t="shared" si="6"/>
        <v>0.37</v>
      </c>
      <c r="E134" s="7">
        <f t="shared" si="7"/>
        <v>0.18</v>
      </c>
      <c r="F134" s="20">
        <v>0.32200000000000001</v>
      </c>
      <c r="G134" s="16">
        <f>AVERAGE(0.355,0.335)</f>
        <v>0.34499999999999997</v>
      </c>
      <c r="H134" s="7">
        <v>0.5</v>
      </c>
      <c r="I134" s="7">
        <v>0.46</v>
      </c>
      <c r="J134" s="7">
        <v>0</v>
      </c>
      <c r="K134" s="7">
        <v>0.38</v>
      </c>
      <c r="L13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0.33957142857142852</v>
      </c>
      <c r="M13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0.3335229579972202</v>
      </c>
      <c r="N134" s="14">
        <f>IF(data[[#This Row],[Weighted_Avg]]&lt;&gt;"", IFERROR(AVERAGE(M122,M110,M98), ""), "")</f>
        <v>0.22979907153205956</v>
      </c>
      <c r="O134" s="14" t="b">
        <f>IF(data[[#This Row],[Date]]&gt;MAX(data[Date])-750, TRUE, FALSE)</f>
        <v>0</v>
      </c>
      <c r="P134" s="3">
        <v>0.185</v>
      </c>
      <c r="Q134" s="3">
        <v>0.19500000000000001</v>
      </c>
      <c r="R134">
        <v>3.8330000000000002</v>
      </c>
    </row>
    <row r="135" spans="1:29">
      <c r="A135" s="4">
        <v>40954</v>
      </c>
      <c r="B135">
        <f>YEAR(data[[#This Row],[Date]])</f>
        <v>2012</v>
      </c>
      <c r="C135" s="6">
        <f t="shared" si="8"/>
        <v>0.66</v>
      </c>
      <c r="D135" s="7">
        <f t="shared" si="6"/>
        <v>0.35</v>
      </c>
      <c r="E135" s="7">
        <f t="shared" si="7"/>
        <v>0.16</v>
      </c>
      <c r="F135" s="20">
        <v>0.30480000000000002</v>
      </c>
      <c r="G135" s="16">
        <f>AVERAGE(0.325,0.335)</f>
        <v>0.33</v>
      </c>
      <c r="H135" s="7">
        <v>0.47</v>
      </c>
      <c r="I135" s="7">
        <v>0.44</v>
      </c>
      <c r="J135" s="7">
        <v>0</v>
      </c>
      <c r="K135" s="7">
        <v>0.36</v>
      </c>
      <c r="L13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0.32211428571428569</v>
      </c>
      <c r="M13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0.3161807676335282</v>
      </c>
      <c r="N135" s="14">
        <f>IF(data[[#This Row],[Weighted_Avg]]&lt;&gt;"", IFERROR(AVERAGE(M123,M111,M99), ""), "")</f>
        <v>0.20884176655687761</v>
      </c>
      <c r="O135" s="14" t="b">
        <f>IF(data[[#This Row],[Date]]&gt;MAX(data[Date])-750, TRUE, FALSE)</f>
        <v>0</v>
      </c>
      <c r="P135" s="3">
        <v>0.19</v>
      </c>
      <c r="Q135" s="3">
        <v>0.19500000000000001</v>
      </c>
      <c r="R135">
        <v>3.9529999999999998</v>
      </c>
    </row>
    <row r="136" spans="1:29">
      <c r="A136" s="4">
        <v>40983</v>
      </c>
      <c r="B136">
        <f>YEAR(data[[#This Row],[Date]])</f>
        <v>2012</v>
      </c>
      <c r="C136" s="6">
        <f t="shared" si="8"/>
        <v>0.65</v>
      </c>
      <c r="D136" s="7">
        <f t="shared" si="6"/>
        <v>0.34</v>
      </c>
      <c r="E136" s="7">
        <f t="shared" si="7"/>
        <v>0.15</v>
      </c>
      <c r="F136" s="20">
        <v>0.29899999999999999</v>
      </c>
      <c r="G136" s="16">
        <f>AVERAGE(0.355,0.335)</f>
        <v>0.34499999999999997</v>
      </c>
      <c r="H136" s="7">
        <v>0.46</v>
      </c>
      <c r="I136" s="7">
        <v>0.43</v>
      </c>
      <c r="J136" s="7">
        <v>0</v>
      </c>
      <c r="K136" s="7">
        <v>0.35</v>
      </c>
      <c r="L13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0.31771428571428567</v>
      </c>
      <c r="M13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0.31219932491325841</v>
      </c>
      <c r="N136" s="14">
        <f>IF(data[[#This Row],[Weighted_Avg]]&lt;&gt;"", IFERROR(AVERAGE(M124,M112,M100), ""), "")</f>
        <v>0.17750479417884749</v>
      </c>
      <c r="O136" s="14" t="b">
        <f>IF(data[[#This Row],[Date]]&gt;MAX(data[Date])-750, TRUE, FALSE)</f>
        <v>0</v>
      </c>
      <c r="P136" s="3">
        <v>0.19</v>
      </c>
      <c r="Q136" s="3">
        <v>0.2</v>
      </c>
      <c r="R136">
        <v>4.1269999999999998</v>
      </c>
    </row>
    <row r="137" spans="1:29">
      <c r="A137" s="4">
        <v>41014</v>
      </c>
      <c r="B137">
        <f>YEAR(data[[#This Row],[Date]])</f>
        <v>2012</v>
      </c>
      <c r="C137" s="6">
        <f t="shared" si="8"/>
        <v>0.68</v>
      </c>
      <c r="D137" s="7">
        <f t="shared" si="6"/>
        <v>0.37</v>
      </c>
      <c r="E137" s="7">
        <f t="shared" si="7"/>
        <v>0.18</v>
      </c>
      <c r="F137" s="20">
        <v>0.32200000000000001</v>
      </c>
      <c r="G137" s="16">
        <f>AVERAGE(0.38,0.395)</f>
        <v>0.38750000000000001</v>
      </c>
      <c r="H137" s="7">
        <v>0.49</v>
      </c>
      <c r="I137" s="7">
        <v>0.46</v>
      </c>
      <c r="J137" s="7">
        <v>0</v>
      </c>
      <c r="K137" s="7">
        <v>0.38</v>
      </c>
      <c r="L13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0.34421428571428569</v>
      </c>
      <c r="M13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0.34054150437325625</v>
      </c>
      <c r="N137" s="14">
        <f>IF(data[[#This Row],[Weighted_Avg]]&lt;&gt;"", IFERROR(AVERAGE(M125,M113,M101), ""), "")</f>
        <v>0.18713390852715114</v>
      </c>
      <c r="O137" s="14" t="b">
        <f>IF(data[[#This Row],[Date]]&gt;MAX(data[Date])-750, TRUE, FALSE)</f>
        <v>0</v>
      </c>
      <c r="P137" s="3">
        <v>0.19500000000000001</v>
      </c>
      <c r="Q137" s="3">
        <v>0.2</v>
      </c>
      <c r="R137">
        <v>4.1150000000000002</v>
      </c>
    </row>
    <row r="138" spans="1:29">
      <c r="A138" s="4">
        <v>41044</v>
      </c>
      <c r="B138">
        <f>YEAR(data[[#This Row],[Date]])</f>
        <v>2012</v>
      </c>
      <c r="C138" s="6">
        <f t="shared" si="8"/>
        <v>0.72</v>
      </c>
      <c r="D138" s="7">
        <f t="shared" si="6"/>
        <v>0.41</v>
      </c>
      <c r="E138" s="7">
        <f t="shared" si="7"/>
        <v>0.22</v>
      </c>
      <c r="F138" s="20">
        <v>0.3508</v>
      </c>
      <c r="G138" s="16">
        <f>AVERAGE(0.39,0.395)</f>
        <v>0.39250000000000002</v>
      </c>
      <c r="H138" s="7">
        <v>0.54</v>
      </c>
      <c r="I138" s="7">
        <v>0.5</v>
      </c>
      <c r="J138" s="7">
        <v>0</v>
      </c>
      <c r="K138" s="7">
        <v>0.41</v>
      </c>
      <c r="L13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0.37190000000000001</v>
      </c>
      <c r="M13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0.36777706576206387</v>
      </c>
      <c r="N138" s="14">
        <f>IF(data[[#This Row],[Weighted_Avg]]&lt;&gt;"", IFERROR(AVERAGE(M126,M114,M102), ""), "")</f>
        <v>0.21313713551563918</v>
      </c>
      <c r="O138" s="14" t="b">
        <f>IF(data[[#This Row],[Date]]&gt;MAX(data[Date])-750, TRUE, FALSE)</f>
        <v>0</v>
      </c>
      <c r="P138" s="3">
        <v>0.19500000000000001</v>
      </c>
      <c r="Q138" s="3">
        <v>0.2</v>
      </c>
      <c r="R138">
        <v>3.9790000000000001</v>
      </c>
    </row>
    <row r="139" spans="1:29">
      <c r="A139" s="4">
        <v>41075</v>
      </c>
      <c r="B139">
        <f>YEAR(data[[#This Row],[Date]])</f>
        <v>2012</v>
      </c>
      <c r="C139" s="6">
        <f t="shared" si="8"/>
        <v>0.72</v>
      </c>
      <c r="D139" s="7">
        <f t="shared" si="6"/>
        <v>0.41</v>
      </c>
      <c r="E139" s="7">
        <f t="shared" si="7"/>
        <v>0.22</v>
      </c>
      <c r="F139" s="20">
        <v>0.3508</v>
      </c>
      <c r="G139" s="16">
        <f>AVERAGE(0.38,0.365)</f>
        <v>0.3725</v>
      </c>
      <c r="H139" s="7">
        <v>0.53</v>
      </c>
      <c r="I139" s="7">
        <v>0.5</v>
      </c>
      <c r="J139" s="7">
        <v>0</v>
      </c>
      <c r="K139" s="7">
        <v>0.41</v>
      </c>
      <c r="L13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0.36761428571428573</v>
      </c>
      <c r="M13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0.36362908513294762</v>
      </c>
      <c r="N139" s="14">
        <f>IF(data[[#This Row],[Weighted_Avg]]&lt;&gt;"", IFERROR(AVERAGE(M127,M115,M103), ""), "")</f>
        <v>0.23590772211777619</v>
      </c>
      <c r="O139" s="14" t="b">
        <f>IF(data[[#This Row],[Date]]&gt;MAX(data[Date])-750, TRUE, FALSE)</f>
        <v>0</v>
      </c>
      <c r="P139" s="3">
        <v>0.2</v>
      </c>
      <c r="Q139" s="3">
        <v>0.20499999999999999</v>
      </c>
      <c r="R139">
        <v>3.7589999999999999</v>
      </c>
    </row>
    <row r="140" spans="1:29">
      <c r="A140" s="4">
        <v>41105</v>
      </c>
      <c r="B140">
        <f>YEAR(data[[#This Row],[Date]])</f>
        <v>2012</v>
      </c>
      <c r="C140" s="6">
        <f t="shared" si="8"/>
        <v>0.69</v>
      </c>
      <c r="D140" s="7">
        <f t="shared" si="6"/>
        <v>0.37</v>
      </c>
      <c r="E140" s="7">
        <f t="shared" si="7"/>
        <v>0.19</v>
      </c>
      <c r="F140" s="20">
        <v>0.32200000000000001</v>
      </c>
      <c r="G140" s="16">
        <f>AVERAGE(0.34,0.31)</f>
        <v>0.32500000000000001</v>
      </c>
      <c r="H140" s="7">
        <v>0.5</v>
      </c>
      <c r="I140" s="7">
        <v>0.46</v>
      </c>
      <c r="J140" s="7">
        <v>0</v>
      </c>
      <c r="K140" s="7">
        <v>0.38</v>
      </c>
      <c r="L14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0.33671428571428569</v>
      </c>
      <c r="M14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0.32994966935557146</v>
      </c>
      <c r="N140" s="14">
        <f>IF(data[[#This Row],[Weighted_Avg]]&lt;&gt;"", IFERROR(AVERAGE(M128,M116,M104), ""), "")</f>
        <v>0.23430922160128301</v>
      </c>
      <c r="O140" s="14" t="b">
        <f>IF(data[[#This Row],[Date]]&gt;MAX(data[Date])-750, TRUE, FALSE)</f>
        <v>0</v>
      </c>
      <c r="P140" s="3">
        <v>0.2</v>
      </c>
      <c r="Q140" s="3">
        <v>0.20499999999999999</v>
      </c>
      <c r="R140">
        <v>3.7210000000000001</v>
      </c>
    </row>
    <row r="141" spans="1:29">
      <c r="A141" s="4">
        <v>41136</v>
      </c>
      <c r="B141">
        <f>YEAR(data[[#This Row],[Date]])</f>
        <v>2012</v>
      </c>
      <c r="C141" s="6">
        <f t="shared" si="8"/>
        <v>0.63</v>
      </c>
      <c r="D141" s="7">
        <f t="shared" si="6"/>
        <v>0.32</v>
      </c>
      <c r="E141" s="7">
        <f t="shared" si="7"/>
        <v>0.13</v>
      </c>
      <c r="F141" s="20">
        <v>0.28179999999999999</v>
      </c>
      <c r="G141" s="16">
        <f>AVERAGE(0.295,0.315)</f>
        <v>0.30499999999999999</v>
      </c>
      <c r="H141" s="7">
        <v>0.44</v>
      </c>
      <c r="I141" s="7">
        <v>0.41</v>
      </c>
      <c r="J141" s="7">
        <v>0</v>
      </c>
      <c r="K141" s="7">
        <v>0.34</v>
      </c>
      <c r="L14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0.29954285714285717</v>
      </c>
      <c r="M14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0.29260801879204568</v>
      </c>
      <c r="N141" s="14">
        <f>IF(data[[#This Row],[Weighted_Avg]]&lt;&gt;"", IFERROR(AVERAGE(M129,M117,M105), ""), "")</f>
        <v>0.23815984450381197</v>
      </c>
      <c r="O141" s="14" t="b">
        <f>IF(data[[#This Row],[Date]]&gt;MAX(data[Date])-750, TRUE, FALSE)</f>
        <v>0</v>
      </c>
      <c r="P141" s="3">
        <v>0.20499999999999999</v>
      </c>
      <c r="Q141" s="3">
        <v>0.21</v>
      </c>
      <c r="R141">
        <v>3.9830000000000001</v>
      </c>
    </row>
    <row r="142" spans="1:29">
      <c r="A142" s="4">
        <v>41167</v>
      </c>
      <c r="B142">
        <f>YEAR(data[[#This Row],[Date]])</f>
        <v>2012</v>
      </c>
      <c r="C142" s="6">
        <f t="shared" si="8"/>
        <v>0.62</v>
      </c>
      <c r="D142" s="7">
        <f t="shared" si="6"/>
        <v>0.31</v>
      </c>
      <c r="E142" s="7">
        <f t="shared" si="7"/>
        <v>0.12</v>
      </c>
      <c r="F142" s="20">
        <v>0.27600000000000002</v>
      </c>
      <c r="G142" s="16">
        <f>AVERAGE(0.33,0.365)</f>
        <v>0.34750000000000003</v>
      </c>
      <c r="H142" s="7">
        <v>0.44</v>
      </c>
      <c r="I142" s="7">
        <v>0.4</v>
      </c>
      <c r="J142" s="7">
        <v>0</v>
      </c>
      <c r="K142" s="7">
        <v>0.33</v>
      </c>
      <c r="L14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0.30050000000000004</v>
      </c>
      <c r="M14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0.29411453994151043</v>
      </c>
      <c r="N142" s="14">
        <f>IF(data[[#This Row],[Weighted_Avg]]&lt;&gt;"", IFERROR(AVERAGE(M130,M118,M106), ""), "")</f>
        <v>0.23839090422193884</v>
      </c>
      <c r="O142" s="14" t="b">
        <f>IF(data[[#This Row],[Date]]&gt;MAX(data[Date])-750, TRUE, FALSE)</f>
        <v>0</v>
      </c>
      <c r="P142" s="3">
        <v>0.20499999999999999</v>
      </c>
      <c r="Q142" s="3">
        <v>0.21</v>
      </c>
      <c r="R142">
        <v>4.12</v>
      </c>
    </row>
    <row r="143" spans="1:29">
      <c r="A143" s="4">
        <v>41197</v>
      </c>
      <c r="B143">
        <f>YEAR(data[[#This Row],[Date]])</f>
        <v>2012</v>
      </c>
      <c r="C143" s="6">
        <f t="shared" si="8"/>
        <v>0.69</v>
      </c>
      <c r="D143" s="7">
        <f t="shared" si="6"/>
        <v>0.38</v>
      </c>
      <c r="E143" s="7">
        <f t="shared" si="7"/>
        <v>0.19</v>
      </c>
      <c r="F143" s="20">
        <v>0.32779999999999998</v>
      </c>
      <c r="G143" s="16">
        <f>AVERAGE(0.39,0.39)</f>
        <v>0.39</v>
      </c>
      <c r="H143" s="7">
        <v>0.5</v>
      </c>
      <c r="I143" s="7">
        <v>0.47</v>
      </c>
      <c r="J143" s="7">
        <v>0</v>
      </c>
      <c r="K143" s="7">
        <v>0.38</v>
      </c>
      <c r="L14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0.34968571428571427</v>
      </c>
      <c r="M14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0.34600677159789595</v>
      </c>
      <c r="N143" s="14">
        <f>IF(data[[#This Row],[Weighted_Avg]]&lt;&gt;"", IFERROR(AVERAGE(M131,M119,M107), ""), "")</f>
        <v>0.24278091888505116</v>
      </c>
      <c r="O143" s="14" t="b">
        <f>IF(data[[#This Row],[Date]]&gt;MAX(data[Date])-750, TRUE, FALSE)</f>
        <v>0</v>
      </c>
      <c r="P143" s="3">
        <v>0.21</v>
      </c>
      <c r="Q143" s="3">
        <v>0.215</v>
      </c>
      <c r="R143">
        <v>4.0940000000000003</v>
      </c>
    </row>
    <row r="144" spans="1:29">
      <c r="A144" s="4">
        <v>41228</v>
      </c>
      <c r="B144">
        <f>YEAR(data[[#This Row],[Date]])</f>
        <v>2012</v>
      </c>
      <c r="C144" s="6">
        <f t="shared" si="8"/>
        <v>0.72</v>
      </c>
      <c r="D144" s="7">
        <f t="shared" si="6"/>
        <v>0.41</v>
      </c>
      <c r="E144" s="7">
        <f t="shared" si="7"/>
        <v>0.22</v>
      </c>
      <c r="F144" s="20">
        <v>0.3508</v>
      </c>
      <c r="G144" s="16">
        <f>AVERAGE(0.385,0.395)</f>
        <v>0.39</v>
      </c>
      <c r="H144" s="7">
        <v>0.54</v>
      </c>
      <c r="I144" s="7">
        <v>0.5</v>
      </c>
      <c r="J144" s="7">
        <v>0</v>
      </c>
      <c r="K144" s="7">
        <v>0.41</v>
      </c>
      <c r="L14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0.37154285714285712</v>
      </c>
      <c r="M14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0.36733040468185779</v>
      </c>
      <c r="N144" s="14">
        <f>IF(data[[#This Row],[Weighted_Avg]]&lt;&gt;"", IFERROR(AVERAGE(M132,M120,M108), ""), "")</f>
        <v>0.23994694729407515</v>
      </c>
      <c r="O144" s="14" t="b">
        <f>IF(data[[#This Row],[Date]]&gt;MAX(data[Date])-750, TRUE, FALSE)</f>
        <v>0</v>
      </c>
      <c r="P144" s="3">
        <v>0.21</v>
      </c>
      <c r="Q144" s="3">
        <v>0.215</v>
      </c>
      <c r="R144">
        <v>4</v>
      </c>
    </row>
    <row r="145" spans="1:18">
      <c r="A145" s="4">
        <v>41258</v>
      </c>
      <c r="B145">
        <f>YEAR(data[[#This Row],[Date]])</f>
        <v>2012</v>
      </c>
      <c r="C145" s="6">
        <f t="shared" si="8"/>
        <v>0.72</v>
      </c>
      <c r="D145" s="7">
        <f t="shared" si="6"/>
        <v>0.4</v>
      </c>
      <c r="E145" s="7">
        <f t="shared" si="7"/>
        <v>0.22</v>
      </c>
      <c r="F145" s="20">
        <v>0.34499999999999997</v>
      </c>
      <c r="G145" s="16">
        <f>AVERAGE(0.36,0.37)</f>
        <v>0.36499999999999999</v>
      </c>
      <c r="H145" s="7">
        <v>0.53</v>
      </c>
      <c r="I145" s="7">
        <v>0.49</v>
      </c>
      <c r="J145" s="7">
        <v>0</v>
      </c>
      <c r="K145" s="7">
        <v>0.4</v>
      </c>
      <c r="L14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0.36142857142857138</v>
      </c>
      <c r="M14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0.35620238467829057</v>
      </c>
      <c r="N145" s="14">
        <f>IF(data[[#This Row],[Weighted_Avg]]&lt;&gt;"", IFERROR(AVERAGE(M133,M121,M109), ""), "")</f>
        <v>0.25197261545533567</v>
      </c>
      <c r="O145" s="14" t="b">
        <f>IF(data[[#This Row],[Date]]&gt;MAX(data[Date])-750, TRUE, FALSE)</f>
        <v>0</v>
      </c>
      <c r="P145" s="3">
        <v>0.215</v>
      </c>
      <c r="Q145" s="3">
        <v>0.22</v>
      </c>
      <c r="R145">
        <v>3.9609999999999999</v>
      </c>
    </row>
    <row r="146" spans="1:18">
      <c r="A146" s="4">
        <v>41289</v>
      </c>
      <c r="B146">
        <f>YEAR(data[[#This Row],[Date]])</f>
        <v>2013</v>
      </c>
      <c r="C146" s="6">
        <f t="shared" si="8"/>
        <v>0.69</v>
      </c>
      <c r="D146" s="7">
        <f t="shared" si="6"/>
        <v>0.38</v>
      </c>
      <c r="E146" s="7">
        <f t="shared" si="7"/>
        <v>0.19</v>
      </c>
      <c r="F146" s="20">
        <v>0.32779999999999998</v>
      </c>
      <c r="G146" s="16">
        <f>AVERAGE(0.37,0.355)</f>
        <v>0.36249999999999999</v>
      </c>
      <c r="H146" s="7">
        <v>0.51</v>
      </c>
      <c r="I146" s="7">
        <v>0.47</v>
      </c>
      <c r="J146" s="7">
        <v>0</v>
      </c>
      <c r="K146" s="7">
        <v>0.39</v>
      </c>
      <c r="L14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0.34861428571428571</v>
      </c>
      <c r="M14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0.34394637376302262</v>
      </c>
      <c r="N146" s="14">
        <f>IF(data[[#This Row],[Weighted_Avg]]&lt;&gt;"", IFERROR(AVERAGE(M134,M122,M110), ""), "")</f>
        <v>0.27316039036376011</v>
      </c>
      <c r="O146" s="14" t="b">
        <f>IF(data[[#This Row],[Date]]&gt;MAX(data[Date])-750, TRUE, FALSE)</f>
        <v>0</v>
      </c>
      <c r="P146" s="3">
        <v>0.215</v>
      </c>
      <c r="Q146" s="3">
        <v>0.22</v>
      </c>
      <c r="R146">
        <v>3.9089999999999998</v>
      </c>
    </row>
    <row r="147" spans="1:18">
      <c r="A147" s="4">
        <v>41320</v>
      </c>
      <c r="B147">
        <f>YEAR(data[[#This Row],[Date]])</f>
        <v>2013</v>
      </c>
      <c r="C147" s="6">
        <f t="shared" si="8"/>
        <v>0.68</v>
      </c>
      <c r="D147" s="7">
        <f t="shared" si="6"/>
        <v>0.37</v>
      </c>
      <c r="E147" s="7">
        <f t="shared" si="7"/>
        <v>0.18</v>
      </c>
      <c r="F147" s="20">
        <v>0.32200000000000001</v>
      </c>
      <c r="G147" s="16">
        <f>AVERAGE(0.35,0.345)</f>
        <v>0.34749999999999998</v>
      </c>
      <c r="H147" s="7">
        <v>0.5</v>
      </c>
      <c r="I147" s="7">
        <v>0.46</v>
      </c>
      <c r="J147" s="7">
        <v>0</v>
      </c>
      <c r="K147" s="7">
        <v>0.38</v>
      </c>
      <c r="L14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0.33992857142857141</v>
      </c>
      <c r="M14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0.33452457033572519</v>
      </c>
      <c r="N147" s="14">
        <f>IF(data[[#This Row],[Weighted_Avg]]&lt;&gt;"", IFERROR(AVERAGE(M135,M123,M111), ""), "")</f>
        <v>0.27285293936242255</v>
      </c>
      <c r="O147" s="14" t="b">
        <f>IF(data[[#This Row],[Date]]&gt;MAX(data[Date])-750, TRUE, FALSE)</f>
        <v>0</v>
      </c>
      <c r="P147" s="3">
        <v>0.22</v>
      </c>
      <c r="Q147" s="3">
        <v>0.22500000000000001</v>
      </c>
      <c r="R147">
        <v>4.1109999999999998</v>
      </c>
    </row>
    <row r="148" spans="1:18">
      <c r="A148" s="4">
        <v>41348</v>
      </c>
      <c r="B148">
        <f>YEAR(data[[#This Row],[Date]])</f>
        <v>2013</v>
      </c>
      <c r="C148" s="6">
        <f t="shared" si="8"/>
        <v>0.67</v>
      </c>
      <c r="D148" s="7">
        <f t="shared" si="6"/>
        <v>0.36</v>
      </c>
      <c r="E148" s="7">
        <f t="shared" si="7"/>
        <v>0.17</v>
      </c>
      <c r="F148" s="20">
        <v>0.3105</v>
      </c>
      <c r="G148" s="16">
        <f>AVERAGE(0.36,0.395)</f>
        <v>0.3775</v>
      </c>
      <c r="H148" s="7">
        <v>0.48</v>
      </c>
      <c r="I148" s="7">
        <v>0.45</v>
      </c>
      <c r="J148" s="7">
        <v>0</v>
      </c>
      <c r="K148" s="7">
        <v>0.37</v>
      </c>
      <c r="L14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0.33542857142857141</v>
      </c>
      <c r="M14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0.33249563878508454</v>
      </c>
      <c r="N148" s="14">
        <f>IF(data[[#This Row],[Weighted_Avg]]&lt;&gt;"", IFERROR(AVERAGE(M136,M124,M112), ""), "")</f>
        <v>0.25095731037908503</v>
      </c>
      <c r="O148" s="14" t="b">
        <f>IF(data[[#This Row],[Date]]&gt;MAX(data[Date])-750, TRUE, FALSE)</f>
        <v>0</v>
      </c>
      <c r="P148" s="3">
        <v>0.22500000000000001</v>
      </c>
      <c r="Q148" s="3">
        <v>0.22500000000000001</v>
      </c>
      <c r="R148">
        <v>4.0679999999999996</v>
      </c>
    </row>
    <row r="149" spans="1:18">
      <c r="A149" s="4">
        <v>41379</v>
      </c>
      <c r="B149">
        <f>YEAR(data[[#This Row],[Date]])</f>
        <v>2013</v>
      </c>
      <c r="C149" s="6">
        <f t="shared" si="8"/>
        <v>0.72</v>
      </c>
      <c r="D149" s="7">
        <f t="shared" si="6"/>
        <v>0.41</v>
      </c>
      <c r="E149" s="7">
        <f t="shared" si="7"/>
        <v>0.22</v>
      </c>
      <c r="F149" s="20">
        <v>0.3508</v>
      </c>
      <c r="G149" s="16">
        <f>AVERAGE(0.375,0.395)</f>
        <v>0.38500000000000001</v>
      </c>
      <c r="H149" s="7">
        <v>0.53</v>
      </c>
      <c r="I149" s="7">
        <v>0.5</v>
      </c>
      <c r="J149" s="7">
        <v>0</v>
      </c>
      <c r="K149" s="7">
        <v>0.41</v>
      </c>
      <c r="L14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0.36940000000000001</v>
      </c>
      <c r="M14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0.3663687562291571</v>
      </c>
      <c r="N149" s="14">
        <f>IF(data[[#This Row],[Weighted_Avg]]&lt;&gt;"", IFERROR(AVERAGE(M137,M125,M113), ""), "")</f>
        <v>0.27406060456347192</v>
      </c>
      <c r="O149" s="14" t="b">
        <f>IF(data[[#This Row],[Date]]&gt;MAX(data[Date])-750, TRUE, FALSE)</f>
        <v>0</v>
      </c>
      <c r="P149" s="3">
        <v>0.22500000000000001</v>
      </c>
      <c r="Q149" s="3">
        <v>0.23</v>
      </c>
      <c r="R149">
        <v>3.93</v>
      </c>
    </row>
    <row r="150" spans="1:18">
      <c r="A150" s="4">
        <v>41409</v>
      </c>
      <c r="B150">
        <f>YEAR(data[[#This Row],[Date]])</f>
        <v>2013</v>
      </c>
      <c r="C150" s="6">
        <f t="shared" si="8"/>
        <v>0.71</v>
      </c>
      <c r="D150" s="7">
        <f t="shared" si="6"/>
        <v>0.4</v>
      </c>
      <c r="E150" s="7">
        <f t="shared" si="7"/>
        <v>0.21</v>
      </c>
      <c r="F150" s="20">
        <v>0.33929999999999999</v>
      </c>
      <c r="G150" s="16">
        <f>AVERAGE(0.365,0.35)</f>
        <v>0.35749999999999998</v>
      </c>
      <c r="H150" s="7">
        <v>0.52</v>
      </c>
      <c r="I150" s="7">
        <v>0.49</v>
      </c>
      <c r="J150" s="7">
        <v>0</v>
      </c>
      <c r="K150" s="7">
        <v>0.4</v>
      </c>
      <c r="L15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0.35811428571428566</v>
      </c>
      <c r="M15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0.35373736993448346</v>
      </c>
      <c r="N150" s="14">
        <f>IF(data[[#This Row],[Weighted_Avg]]&lt;&gt;"", IFERROR(AVERAGE(M138,M126,M114), ""), "")</f>
        <v>0.31172318647399622</v>
      </c>
      <c r="O150" s="14" t="b">
        <f>IF(data[[#This Row],[Date]]&gt;MAX(data[Date])-750, TRUE, FALSE)</f>
        <v>0</v>
      </c>
      <c r="P150" s="3">
        <v>0.23</v>
      </c>
      <c r="Q150" s="3">
        <v>0.23</v>
      </c>
      <c r="R150">
        <v>3.87</v>
      </c>
    </row>
    <row r="151" spans="1:18">
      <c r="A151" s="4">
        <v>41440</v>
      </c>
      <c r="B151">
        <f>YEAR(data[[#This Row],[Date]])</f>
        <v>2013</v>
      </c>
      <c r="C151" s="6">
        <f t="shared" si="8"/>
        <v>0.68</v>
      </c>
      <c r="D151" s="7">
        <f t="shared" si="6"/>
        <v>0.36</v>
      </c>
      <c r="E151" s="7">
        <f t="shared" si="7"/>
        <v>0.18</v>
      </c>
      <c r="F151" s="20">
        <v>0.31630000000000003</v>
      </c>
      <c r="G151" s="16">
        <f>AVERAGE(0.335,0.34)</f>
        <v>0.33750000000000002</v>
      </c>
      <c r="H151" s="7">
        <v>0.49</v>
      </c>
      <c r="I151" s="7">
        <v>0.45</v>
      </c>
      <c r="J151" s="7">
        <v>0</v>
      </c>
      <c r="K151" s="7">
        <v>0.37</v>
      </c>
      <c r="L15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0.33197142857142853</v>
      </c>
      <c r="M15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0.32609202746588767</v>
      </c>
      <c r="N151" s="14">
        <f>IF(data[[#This Row],[Weighted_Avg]]&lt;&gt;"", IFERROR(AVERAGE(M139,M127,M115), ""), "")</f>
        <v>0.32908432618367717</v>
      </c>
      <c r="O151" s="14" t="b">
        <f>IF(data[[#This Row],[Date]]&gt;MAX(data[Date])-750, TRUE, FALSE)</f>
        <v>0</v>
      </c>
      <c r="P151" s="3">
        <v>0.23</v>
      </c>
      <c r="Q151" s="3">
        <v>0.23499999999999999</v>
      </c>
      <c r="R151">
        <v>3.8490000000000002</v>
      </c>
    </row>
    <row r="152" spans="1:18">
      <c r="A152" s="4">
        <v>41470</v>
      </c>
      <c r="B152">
        <f>YEAR(data[[#This Row],[Date]])</f>
        <v>2013</v>
      </c>
      <c r="C152" s="6">
        <f t="shared" si="8"/>
        <v>0.66</v>
      </c>
      <c r="D152" s="7">
        <f t="shared" si="6"/>
        <v>0.35</v>
      </c>
      <c r="E152" s="7">
        <f t="shared" si="7"/>
        <v>0.16</v>
      </c>
      <c r="F152" s="20">
        <v>0.30480000000000002</v>
      </c>
      <c r="G152" s="16">
        <f>AVERAGE(0.335,0.34)</f>
        <v>0.33750000000000002</v>
      </c>
      <c r="H152" s="7">
        <v>0.47</v>
      </c>
      <c r="I152" s="7">
        <v>0.44</v>
      </c>
      <c r="J152" s="7">
        <v>0</v>
      </c>
      <c r="K152" s="7">
        <v>0.36</v>
      </c>
      <c r="L15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0.32318571428571424</v>
      </c>
      <c r="M15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0.31820860759511788</v>
      </c>
      <c r="N152" s="14">
        <f>IF(data[[#This Row],[Weighted_Avg]]&lt;&gt;"", IFERROR(AVERAGE(M140,M128,M116), ""), "")</f>
        <v>0.31283758387119209</v>
      </c>
      <c r="O152" s="14" t="b">
        <f>IF(data[[#This Row],[Date]]&gt;MAX(data[Date])-750, TRUE, FALSE)</f>
        <v>0</v>
      </c>
      <c r="P152" s="3">
        <v>0.23499999999999999</v>
      </c>
      <c r="Q152" s="3">
        <v>0.23499999999999999</v>
      </c>
      <c r="R152">
        <v>3.8660000000000001</v>
      </c>
    </row>
    <row r="153" spans="1:18">
      <c r="A153" s="4">
        <v>41501</v>
      </c>
      <c r="B153">
        <f>YEAR(data[[#This Row],[Date]])</f>
        <v>2013</v>
      </c>
      <c r="C153" s="6">
        <f t="shared" si="8"/>
        <v>0.65</v>
      </c>
      <c r="D153" s="7">
        <f t="shared" si="6"/>
        <v>0.34</v>
      </c>
      <c r="E153" s="7">
        <f t="shared" si="7"/>
        <v>0.15</v>
      </c>
      <c r="F153" s="20">
        <v>0.29899999999999999</v>
      </c>
      <c r="G153" s="16">
        <f>AVERAGE(0.33,0.345)</f>
        <v>0.33750000000000002</v>
      </c>
      <c r="H153" s="7">
        <v>0.47</v>
      </c>
      <c r="I153" s="7">
        <v>0.43</v>
      </c>
      <c r="J153" s="7">
        <v>0</v>
      </c>
      <c r="K153" s="7">
        <v>0.35</v>
      </c>
      <c r="L15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0.31807142857142851</v>
      </c>
      <c r="M15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0.3123326961974327</v>
      </c>
      <c r="N153" s="14">
        <f>IF(data[[#This Row],[Weighted_Avg]]&lt;&gt;"", IFERROR(AVERAGE(M141,M129,M117), ""), "")</f>
        <v>0.28621488395576949</v>
      </c>
      <c r="O153" s="14" t="b">
        <f>IF(data[[#This Row],[Date]]&gt;MAX(data[Date])-750, TRUE, FALSE)</f>
        <v>0</v>
      </c>
      <c r="P153" s="3">
        <v>0.24</v>
      </c>
      <c r="Q153" s="3">
        <v>0.24</v>
      </c>
      <c r="R153">
        <v>3.9049999999999998</v>
      </c>
    </row>
    <row r="154" spans="1:18">
      <c r="A154" s="4">
        <v>41532</v>
      </c>
      <c r="B154">
        <f>YEAR(data[[#This Row],[Date]])</f>
        <v>2013</v>
      </c>
      <c r="C154" s="6">
        <f t="shared" si="8"/>
        <v>0.66</v>
      </c>
      <c r="D154" s="7">
        <f t="shared" si="6"/>
        <v>0.35</v>
      </c>
      <c r="E154" s="7">
        <f t="shared" si="7"/>
        <v>0.16</v>
      </c>
      <c r="F154" s="20">
        <v>0.30480000000000002</v>
      </c>
      <c r="G154" s="16">
        <f>AVERAGE(0.35,0.345)</f>
        <v>0.34749999999999998</v>
      </c>
      <c r="H154" s="7">
        <v>0.47</v>
      </c>
      <c r="I154" s="7">
        <v>0.44</v>
      </c>
      <c r="J154" s="7">
        <v>0</v>
      </c>
      <c r="K154" s="7">
        <v>0.36</v>
      </c>
      <c r="L15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0.32461428571428569</v>
      </c>
      <c r="M15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0.32016010370182757</v>
      </c>
      <c r="N154" s="14">
        <f>IF(data[[#This Row],[Weighted_Avg]]&lt;&gt;"", IFERROR(AVERAGE(M142,M130,M118), ""), "")</f>
        <v>0.28462080616043339</v>
      </c>
      <c r="O154" s="14" t="b">
        <f>IF(data[[#This Row],[Date]]&gt;MAX(data[Date])-750, TRUE, FALSE)</f>
        <v>0</v>
      </c>
      <c r="P154" s="3">
        <v>0.24</v>
      </c>
      <c r="Q154" s="3">
        <v>0.24</v>
      </c>
      <c r="R154">
        <v>3.9609999999999999</v>
      </c>
    </row>
    <row r="155" spans="1:18">
      <c r="A155" s="4">
        <v>41562</v>
      </c>
      <c r="B155">
        <f>YEAR(data[[#This Row],[Date]])</f>
        <v>2013</v>
      </c>
      <c r="C155" s="6">
        <f t="shared" si="8"/>
        <v>0.67</v>
      </c>
      <c r="D155" s="7">
        <f t="shared" si="6"/>
        <v>0.36</v>
      </c>
      <c r="E155" s="7">
        <f t="shared" si="7"/>
        <v>0.17</v>
      </c>
      <c r="F155" s="20">
        <v>0.3105</v>
      </c>
      <c r="G155" s="16">
        <f>AVERAGE(0.36,0.365)</f>
        <v>0.36249999999999999</v>
      </c>
      <c r="H155" s="7">
        <v>0.48</v>
      </c>
      <c r="I155" s="7">
        <v>0.45</v>
      </c>
      <c r="J155" s="7">
        <v>0</v>
      </c>
      <c r="K155" s="7">
        <v>0.37</v>
      </c>
      <c r="L15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0.33328571428571424</v>
      </c>
      <c r="M15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0.32956839462501997</v>
      </c>
      <c r="N155" s="14">
        <f>IF(data[[#This Row],[Weighted_Avg]]&lt;&gt;"", IFERROR(AVERAGE(M143,M131,M119), ""), "")</f>
        <v>0.30147591584534755</v>
      </c>
      <c r="O155" s="14" t="b">
        <f>IF(data[[#This Row],[Date]]&gt;MAX(data[Date])-750, TRUE, FALSE)</f>
        <v>0</v>
      </c>
      <c r="P155" s="3">
        <v>0.245</v>
      </c>
      <c r="Q155" s="3">
        <v>0.245</v>
      </c>
      <c r="R155">
        <v>3.8849999999999998</v>
      </c>
    </row>
    <row r="156" spans="1:18">
      <c r="A156" s="4">
        <v>41593</v>
      </c>
      <c r="B156">
        <f>YEAR(data[[#This Row],[Date]])</f>
        <v>2013</v>
      </c>
      <c r="C156" s="6">
        <f t="shared" si="8"/>
        <v>0.68</v>
      </c>
      <c r="D156" s="7">
        <f t="shared" si="6"/>
        <v>0.37</v>
      </c>
      <c r="E156" s="7">
        <f t="shared" si="7"/>
        <v>0.18</v>
      </c>
      <c r="F156" s="20">
        <v>0.32200000000000001</v>
      </c>
      <c r="G156" s="16">
        <f>AVERAGE(0.35,0.345)</f>
        <v>0.34749999999999998</v>
      </c>
      <c r="H156" s="7">
        <v>0.5</v>
      </c>
      <c r="I156" s="7">
        <v>0.46</v>
      </c>
      <c r="J156" s="7">
        <v>0</v>
      </c>
      <c r="K156" s="7">
        <v>0.38</v>
      </c>
      <c r="L15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0.33992857142857141</v>
      </c>
      <c r="M15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0.33452457033572519</v>
      </c>
      <c r="N156" s="14">
        <f>IF(data[[#This Row],[Weighted_Avg]]&lt;&gt;"", IFERROR(AVERAGE(M144,M132,M120), ""), "")</f>
        <v>0.30599892899386222</v>
      </c>
      <c r="O156" s="14" t="b">
        <f>IF(data[[#This Row],[Date]]&gt;MAX(data[Date])-750, TRUE, FALSE)</f>
        <v>0</v>
      </c>
      <c r="P156" s="3">
        <v>0.245</v>
      </c>
      <c r="Q156" s="3">
        <v>0.25</v>
      </c>
      <c r="R156">
        <v>3.839</v>
      </c>
    </row>
    <row r="157" spans="1:18">
      <c r="A157" s="4">
        <v>41623</v>
      </c>
      <c r="B157">
        <f>YEAR(data[[#This Row],[Date]])</f>
        <v>2013</v>
      </c>
      <c r="C157" s="6">
        <f t="shared" si="8"/>
        <v>0.66</v>
      </c>
      <c r="D157" s="7">
        <f t="shared" si="6"/>
        <v>0.35</v>
      </c>
      <c r="E157" s="7">
        <f t="shared" si="7"/>
        <v>0.16</v>
      </c>
      <c r="F157" s="20">
        <v>0.30480000000000002</v>
      </c>
      <c r="G157" s="16">
        <f>AVERAGE(0.34,0.33)</f>
        <v>0.33500000000000002</v>
      </c>
      <c r="H157" s="7">
        <v>0.48</v>
      </c>
      <c r="I157" s="7">
        <v>0.44</v>
      </c>
      <c r="J157" s="7">
        <v>0</v>
      </c>
      <c r="K157" s="7">
        <v>0.36</v>
      </c>
      <c r="L15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0.32425714285714285</v>
      </c>
      <c r="M15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0.31833938143798823</v>
      </c>
      <c r="N157" s="14">
        <f>IF(data[[#This Row],[Weighted_Avg]]&lt;&gt;"", IFERROR(AVERAGE(M145,M133,M121), ""), "")</f>
        <v>0.30982817329058593</v>
      </c>
      <c r="O157" s="14" t="b">
        <f>IF(data[[#This Row],[Date]]&gt;MAX(data[Date])-750, TRUE, FALSE)</f>
        <v>0</v>
      </c>
      <c r="P157" s="3">
        <v>0.25</v>
      </c>
      <c r="Q157" s="3">
        <v>0.25</v>
      </c>
      <c r="R157">
        <v>3.8820000000000001</v>
      </c>
    </row>
    <row r="158" spans="1:18">
      <c r="A158" s="4">
        <v>41654</v>
      </c>
      <c r="B158">
        <f>YEAR(data[[#This Row],[Date]])</f>
        <v>2014</v>
      </c>
      <c r="C158" s="6">
        <f t="shared" si="8"/>
        <v>0.65</v>
      </c>
      <c r="D158" s="7">
        <f t="shared" si="6"/>
        <v>0.34</v>
      </c>
      <c r="E158" s="7">
        <f t="shared" si="7"/>
        <v>0.15</v>
      </c>
      <c r="F158" s="20">
        <v>0.29899999999999999</v>
      </c>
      <c r="G158" s="16">
        <f>AVERAGE(0.34,0.34)</f>
        <v>0.34</v>
      </c>
      <c r="H158" s="7">
        <v>0.46</v>
      </c>
      <c r="I158" s="7">
        <v>0.43</v>
      </c>
      <c r="J158" s="7">
        <v>0</v>
      </c>
      <c r="K158" s="7">
        <v>0.35</v>
      </c>
      <c r="L15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0.317</v>
      </c>
      <c r="M15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0.31341985679452145</v>
      </c>
      <c r="N158" s="14">
        <f>IF(data[[#This Row],[Weighted_Avg]]&lt;&gt;"", IFERROR(AVERAGE(M146,M134,M122), ""), "")</f>
        <v>0.31984417218333966</v>
      </c>
      <c r="O158" s="14" t="b">
        <f>IF(data[[#This Row],[Date]]&gt;MAX(data[Date])-750, TRUE, FALSE)</f>
        <v>0</v>
      </c>
      <c r="P158" s="3">
        <v>0.255</v>
      </c>
      <c r="Q158" s="3">
        <v>0.255</v>
      </c>
      <c r="R158">
        <v>3.8929999999999998</v>
      </c>
    </row>
    <row r="159" spans="1:18">
      <c r="A159" s="4">
        <v>41685</v>
      </c>
      <c r="B159">
        <f>YEAR(data[[#This Row],[Date]])</f>
        <v>2014</v>
      </c>
      <c r="C159" s="6">
        <f t="shared" si="8"/>
        <v>0.66</v>
      </c>
      <c r="D159" s="7">
        <f t="shared" si="6"/>
        <v>0.35</v>
      </c>
      <c r="E159" s="7">
        <f t="shared" si="7"/>
        <v>0.16</v>
      </c>
      <c r="F159" s="20">
        <v>0.30480000000000002</v>
      </c>
      <c r="G159" s="16">
        <f>AVERAGE(0.35,0.34)</f>
        <v>0.34499999999999997</v>
      </c>
      <c r="H159" s="7">
        <v>0.48</v>
      </c>
      <c r="I159" s="7">
        <v>0.44</v>
      </c>
      <c r="J159" s="7">
        <v>0</v>
      </c>
      <c r="K159" s="7">
        <v>0.36</v>
      </c>
      <c r="L15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0.32568571428571425</v>
      </c>
      <c r="M15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0.32161061365663257</v>
      </c>
      <c r="N159" s="14">
        <f>IF(data[[#This Row],[Weighted_Avg]]&lt;&gt;"", IFERROR(AVERAGE(M147,M135,M123), ""), "")</f>
        <v>0.31789233133740291</v>
      </c>
      <c r="O159" s="14" t="b">
        <f>IF(data[[#This Row],[Date]]&gt;MAX(data[Date])-750, TRUE, FALSE)</f>
        <v>0</v>
      </c>
      <c r="P159" s="3">
        <v>0.255</v>
      </c>
      <c r="Q159" s="3">
        <v>0.26</v>
      </c>
      <c r="R159">
        <v>3.984</v>
      </c>
    </row>
    <row r="160" spans="1:18">
      <c r="A160" s="4">
        <v>41713</v>
      </c>
      <c r="B160">
        <f>YEAR(data[[#This Row],[Date]])</f>
        <v>2014</v>
      </c>
      <c r="C160" s="6">
        <f t="shared" si="8"/>
        <v>0.67</v>
      </c>
      <c r="D160" s="7">
        <f t="shared" si="6"/>
        <v>0.35</v>
      </c>
      <c r="E160" s="7">
        <f t="shared" si="7"/>
        <v>0.17</v>
      </c>
      <c r="F160" s="20">
        <v>0.3105</v>
      </c>
      <c r="G160" s="16">
        <f>AVERAGE(0.35,0.365)</f>
        <v>0.35749999999999998</v>
      </c>
      <c r="H160" s="7">
        <v>0.48</v>
      </c>
      <c r="I160" s="7">
        <v>0.44</v>
      </c>
      <c r="J160" s="7">
        <v>0</v>
      </c>
      <c r="K160" s="7">
        <v>0.36</v>
      </c>
      <c r="L16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0.32828571428571429</v>
      </c>
      <c r="M16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0.32462075418473169</v>
      </c>
      <c r="N160" s="14">
        <f>IF(data[[#This Row],[Weighted_Avg]]&lt;&gt;"", IFERROR(AVERAGE(M148,M136,M124), ""), "")</f>
        <v>0.29052900874913523</v>
      </c>
      <c r="O160" s="14" t="b">
        <f>IF(data[[#This Row],[Date]]&gt;MAX(data[Date])-750, TRUE, FALSE)</f>
        <v>0</v>
      </c>
      <c r="P160" s="3">
        <v>0.26500000000000001</v>
      </c>
      <c r="Q160" s="3">
        <v>0.26</v>
      </c>
      <c r="R160">
        <v>4.0010000000000003</v>
      </c>
    </row>
    <row r="161" spans="1:28">
      <c r="A161" s="4">
        <v>41744</v>
      </c>
      <c r="B161">
        <f>YEAR(data[[#This Row],[Date]])</f>
        <v>2014</v>
      </c>
      <c r="C161" s="6">
        <f t="shared" si="8"/>
        <v>0.69</v>
      </c>
      <c r="D161" s="7">
        <f t="shared" si="6"/>
        <v>0.38</v>
      </c>
      <c r="E161" s="7">
        <f t="shared" si="7"/>
        <v>0.19</v>
      </c>
      <c r="F161" s="20">
        <v>0.32779999999999998</v>
      </c>
      <c r="G161" s="16">
        <f>AVERAGE(0.37,0.365)</f>
        <v>0.36749999999999999</v>
      </c>
      <c r="H161" s="7">
        <v>0.5</v>
      </c>
      <c r="I161" s="7">
        <v>0.47</v>
      </c>
      <c r="J161" s="7">
        <v>0</v>
      </c>
      <c r="K161" s="7">
        <v>0.38</v>
      </c>
      <c r="L16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0.3464714285714286</v>
      </c>
      <c r="M16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0.34387801833973758</v>
      </c>
      <c r="N161" s="14">
        <f>IF(data[[#This Row],[Weighted_Avg]]&lt;&gt;"", IFERROR(AVERAGE(M149,M137,M125), ""), "")</f>
        <v>0.3263630407406774</v>
      </c>
      <c r="O161" s="14" t="b">
        <f>IF(data[[#This Row],[Date]]&gt;MAX(data[Date])-750, TRUE, FALSE)</f>
        <v>0</v>
      </c>
      <c r="P161" s="3">
        <v>0.26500000000000001</v>
      </c>
      <c r="Q161" s="3">
        <v>0.26500000000000001</v>
      </c>
      <c r="R161">
        <v>3.964</v>
      </c>
    </row>
    <row r="162" spans="1:28">
      <c r="A162" s="4">
        <v>41774</v>
      </c>
      <c r="B162">
        <f>YEAR(data[[#This Row],[Date]])</f>
        <v>2014</v>
      </c>
      <c r="C162" s="6">
        <f t="shared" si="8"/>
        <v>0.69</v>
      </c>
      <c r="D162" s="7">
        <f t="shared" si="6"/>
        <v>0.38</v>
      </c>
      <c r="E162" s="7">
        <f t="shared" si="7"/>
        <v>0.19</v>
      </c>
      <c r="F162" s="20">
        <v>0.32779999999999998</v>
      </c>
      <c r="G162" s="16">
        <f>AVERAGE(0.36,0.36)</f>
        <v>0.36</v>
      </c>
      <c r="H162" s="7">
        <v>0.51</v>
      </c>
      <c r="I162" s="7">
        <v>0.47</v>
      </c>
      <c r="J162" s="7">
        <v>0</v>
      </c>
      <c r="K162" s="7">
        <v>0.39</v>
      </c>
      <c r="L16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0.34825714285714288</v>
      </c>
      <c r="M16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0.34509134245306627</v>
      </c>
      <c r="N162" s="14">
        <f>IF(data[[#This Row],[Weighted_Avg]]&lt;&gt;"", IFERROR(AVERAGE(M150,M138,M126), ""), "")</f>
        <v>0.35137612013301034</v>
      </c>
      <c r="O162" s="14" t="b">
        <f>IF(data[[#This Row],[Date]]&gt;MAX(data[Date])-750, TRUE, FALSE)</f>
        <v>0</v>
      </c>
      <c r="P162" s="3">
        <v>0.27</v>
      </c>
      <c r="Q162" s="3">
        <v>0.26500000000000001</v>
      </c>
      <c r="R162">
        <v>3.9430000000000001</v>
      </c>
    </row>
    <row r="163" spans="1:28">
      <c r="A163" s="4">
        <v>41805</v>
      </c>
      <c r="B163">
        <f>YEAR(data[[#This Row],[Date]])</f>
        <v>2014</v>
      </c>
      <c r="C163" s="6">
        <f t="shared" si="8"/>
        <v>0.68</v>
      </c>
      <c r="D163" s="7">
        <f t="shared" si="6"/>
        <v>0.37</v>
      </c>
      <c r="E163" s="7">
        <f t="shared" si="7"/>
        <v>0.18</v>
      </c>
      <c r="F163" s="20">
        <v>0.32200000000000001</v>
      </c>
      <c r="G163" s="16">
        <f>AVERAGE(0.36,0.355)</f>
        <v>0.35749999999999998</v>
      </c>
      <c r="H163" s="7">
        <v>0.5</v>
      </c>
      <c r="I163" s="7">
        <v>0.46</v>
      </c>
      <c r="J163" s="7">
        <v>0</v>
      </c>
      <c r="K163" s="7">
        <v>0.38</v>
      </c>
      <c r="L16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0.34135714285714286</v>
      </c>
      <c r="M16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0.33797586551441572</v>
      </c>
      <c r="N163" s="14">
        <f>IF(data[[#This Row],[Weighted_Avg]]&lt;&gt;"", IFERROR(AVERAGE(M151,M139,M127), ""), "")</f>
        <v>0.35021652085424176</v>
      </c>
      <c r="O163" s="14" t="b">
        <f>IF(data[[#This Row],[Date]]&gt;MAX(data[Date])-750, TRUE, FALSE)</f>
        <v>0</v>
      </c>
      <c r="P163" s="3">
        <v>0.27</v>
      </c>
      <c r="Q163" s="3">
        <v>0.27</v>
      </c>
      <c r="R163">
        <v>3.9060000000000001</v>
      </c>
    </row>
    <row r="164" spans="1:28">
      <c r="A164" s="4">
        <v>41835</v>
      </c>
      <c r="B164">
        <f>YEAR(data[[#This Row],[Date]])</f>
        <v>2014</v>
      </c>
      <c r="C164" s="6">
        <f t="shared" si="8"/>
        <v>0.68</v>
      </c>
      <c r="D164" s="7">
        <f t="shared" si="6"/>
        <v>0.37</v>
      </c>
      <c r="E164" s="7">
        <f t="shared" si="7"/>
        <v>0.18</v>
      </c>
      <c r="F164" s="20">
        <v>0.31630000000000003</v>
      </c>
      <c r="G164" s="16">
        <f>AVERAGE(0.345,0.345)</f>
        <v>0.34499999999999997</v>
      </c>
      <c r="H164" s="7">
        <v>0.49</v>
      </c>
      <c r="I164" s="7">
        <v>0.46</v>
      </c>
      <c r="J164" s="7">
        <v>0</v>
      </c>
      <c r="K164" s="7">
        <v>0.37</v>
      </c>
      <c r="L16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0.33589999999999998</v>
      </c>
      <c r="M16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0.33246122056052718</v>
      </c>
      <c r="N164" s="14">
        <f>IF(data[[#This Row],[Weighted_Avg]]&lt;&gt;"", IFERROR(AVERAGE(M152,M140,M128), ""), "")</f>
        <v>0.33298163240963147</v>
      </c>
      <c r="O164" s="14" t="b">
        <f>IF(data[[#This Row],[Date]]&gt;MAX(data[Date])-750, TRUE, FALSE)</f>
        <v>0</v>
      </c>
      <c r="P164" s="3">
        <v>0.27500000000000002</v>
      </c>
      <c r="Q164" s="3">
        <v>0.27500000000000002</v>
      </c>
      <c r="R164">
        <v>3.8839999999999999</v>
      </c>
    </row>
    <row r="165" spans="1:28">
      <c r="A165" s="4">
        <v>41866</v>
      </c>
      <c r="B165">
        <f>YEAR(data[[#This Row],[Date]])</f>
        <v>2014</v>
      </c>
      <c r="C165" s="6">
        <f t="shared" si="8"/>
        <v>0.67</v>
      </c>
      <c r="D165" s="7">
        <f t="shared" si="6"/>
        <v>0.36</v>
      </c>
      <c r="E165" s="7">
        <f t="shared" si="7"/>
        <v>0.17</v>
      </c>
      <c r="F165" s="20">
        <v>0.3105</v>
      </c>
      <c r="G165" s="16">
        <f>AVERAGE(0.34,0.35)</f>
        <v>0.34499999999999997</v>
      </c>
      <c r="H165" s="7">
        <v>0.48</v>
      </c>
      <c r="I165" s="7">
        <v>0.45</v>
      </c>
      <c r="J165" s="7">
        <v>0</v>
      </c>
      <c r="K165" s="7">
        <v>0.37</v>
      </c>
      <c r="L16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0.33078571428571424</v>
      </c>
      <c r="M16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0.3276357549991793</v>
      </c>
      <c r="N165" s="14">
        <f>IF(data[[#This Row],[Weighted_Avg]]&lt;&gt;"", IFERROR(AVERAGE(M153,M141,M129), ""), "")</f>
        <v>0.31169750616248432</v>
      </c>
      <c r="O165" s="14" t="b">
        <f>IF(data[[#This Row],[Date]]&gt;MAX(data[Date])-750, TRUE, FALSE)</f>
        <v>0</v>
      </c>
      <c r="P165" s="3">
        <v>0.28000000000000003</v>
      </c>
      <c r="Q165" s="3">
        <v>0.27500000000000002</v>
      </c>
      <c r="R165">
        <v>3.8380000000000001</v>
      </c>
    </row>
    <row r="166" spans="1:28">
      <c r="A166" s="4">
        <v>41897</v>
      </c>
      <c r="B166">
        <f>YEAR(data[[#This Row],[Date]])</f>
        <v>2014</v>
      </c>
      <c r="C166" s="6">
        <f t="shared" si="8"/>
        <v>0.66</v>
      </c>
      <c r="D166" s="7">
        <f t="shared" si="6"/>
        <v>0.35</v>
      </c>
      <c r="E166" s="7">
        <f t="shared" si="7"/>
        <v>0.16</v>
      </c>
      <c r="F166" s="20">
        <v>0.30480000000000002</v>
      </c>
      <c r="G166" s="16">
        <f>AVERAGE(0.33,0.335)</f>
        <v>0.33250000000000002</v>
      </c>
      <c r="H166" s="7">
        <v>0.48</v>
      </c>
      <c r="I166" s="7">
        <v>0.44</v>
      </c>
      <c r="J166" s="7">
        <v>0</v>
      </c>
      <c r="K166" s="7">
        <v>0.36</v>
      </c>
      <c r="L16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0.32390000000000002</v>
      </c>
      <c r="M16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0.31945864646919797</v>
      </c>
      <c r="N166" s="14">
        <f>IF(data[[#This Row],[Weighted_Avg]]&lt;&gt;"", IFERROR(AVERAGE(M154,M142,M130), ""), "")</f>
        <v>0.31393768995624272</v>
      </c>
      <c r="O166" s="14" t="b">
        <f>IF(data[[#This Row],[Date]]&gt;MAX(data[Date])-750, TRUE, FALSE)</f>
        <v>0</v>
      </c>
      <c r="P166" s="3">
        <v>0.28000000000000003</v>
      </c>
      <c r="Q166" s="3">
        <v>0.28000000000000003</v>
      </c>
      <c r="R166">
        <v>3.7919999999999998</v>
      </c>
    </row>
    <row r="167" spans="1:28">
      <c r="A167" s="4">
        <v>41927</v>
      </c>
      <c r="B167">
        <f>YEAR(data[[#This Row],[Date]])</f>
        <v>2014</v>
      </c>
      <c r="C167" s="6">
        <f t="shared" si="8"/>
        <v>0.65</v>
      </c>
      <c r="D167" s="7">
        <f t="shared" si="6"/>
        <v>0.34</v>
      </c>
      <c r="E167" s="7">
        <f t="shared" si="7"/>
        <v>0.15</v>
      </c>
      <c r="F167" s="20">
        <v>0.29899999999999999</v>
      </c>
      <c r="G167" s="16">
        <f>AVERAGE(0.33,0.325)</f>
        <v>0.32750000000000001</v>
      </c>
      <c r="H167" s="7">
        <v>0.46</v>
      </c>
      <c r="I167" s="7">
        <v>0.43</v>
      </c>
      <c r="J167" s="7">
        <v>0</v>
      </c>
      <c r="K167" s="7">
        <v>0.35</v>
      </c>
      <c r="L16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0.31521428571428572</v>
      </c>
      <c r="M16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0.31126788960708679</v>
      </c>
      <c r="N167" s="14">
        <f>IF(data[[#This Row],[Weighted_Avg]]&lt;&gt;"", IFERROR(AVERAGE(M155,M143,M131), ""), "")</f>
        <v>0.33181546639349813</v>
      </c>
      <c r="O167" s="14" t="b">
        <f>IF(data[[#This Row],[Date]]&gt;MAX(data[Date])-750, TRUE, FALSE)</f>
        <v>0</v>
      </c>
      <c r="P167" s="3">
        <v>0.28499999999999998</v>
      </c>
      <c r="Q167" s="3">
        <v>0.28000000000000003</v>
      </c>
      <c r="R167">
        <v>3.681</v>
      </c>
    </row>
    <row r="168" spans="1:28">
      <c r="A168" s="4">
        <v>41958</v>
      </c>
      <c r="B168">
        <f>YEAR(data[[#This Row],[Date]])</f>
        <v>2014</v>
      </c>
      <c r="C168" s="6">
        <f t="shared" si="8"/>
        <v>0.64</v>
      </c>
      <c r="D168" s="7">
        <f t="shared" si="6"/>
        <v>0.33</v>
      </c>
      <c r="E168" s="7">
        <f t="shared" si="7"/>
        <v>0.14000000000000001</v>
      </c>
      <c r="F168" s="20">
        <v>0.28749999999999998</v>
      </c>
      <c r="G168" s="16">
        <f>AVERAGE(0.3,0.315)</f>
        <v>0.3075</v>
      </c>
      <c r="H168" s="7">
        <v>0.45</v>
      </c>
      <c r="I168" s="7">
        <v>0.42</v>
      </c>
      <c r="J168" s="7">
        <v>0</v>
      </c>
      <c r="K168" s="7">
        <v>0.34</v>
      </c>
      <c r="L16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0.30499999999999999</v>
      </c>
      <c r="M16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0.30028148526536325</v>
      </c>
      <c r="N168" s="14">
        <f>IF(data[[#This Row],[Weighted_Avg]]&lt;&gt;"", IFERROR(AVERAGE(M156,M144,M132), ""), "")</f>
        <v>0.33745155555609596</v>
      </c>
      <c r="O168" s="14" t="b">
        <f>IF(data[[#This Row],[Date]]&gt;MAX(data[Date])-750, TRUE, FALSE)</f>
        <v>0</v>
      </c>
      <c r="P168" s="3">
        <v>0.28999999999999998</v>
      </c>
      <c r="Q168" s="3">
        <v>0.28499999999999998</v>
      </c>
      <c r="R168">
        <v>3.6469999999999998</v>
      </c>
    </row>
    <row r="169" spans="1:28">
      <c r="A169" s="4">
        <v>41988</v>
      </c>
      <c r="B169">
        <f>YEAR(data[[#This Row],[Date]])</f>
        <v>2014</v>
      </c>
      <c r="C169" s="6">
        <f t="shared" si="8"/>
        <v>0.61</v>
      </c>
      <c r="D169" s="7">
        <f t="shared" si="6"/>
        <v>0.3</v>
      </c>
      <c r="E169" s="7">
        <f t="shared" si="7"/>
        <v>0.11</v>
      </c>
      <c r="F169" s="20">
        <v>0.27029999999999998</v>
      </c>
      <c r="G169" s="16">
        <f>AVERAGE(0.295,0.295)</f>
        <v>0.29499999999999998</v>
      </c>
      <c r="H169" s="7">
        <v>0.43</v>
      </c>
      <c r="I169" s="7">
        <v>0.39</v>
      </c>
      <c r="J169" s="7">
        <v>0</v>
      </c>
      <c r="K169" s="7">
        <v>0.32</v>
      </c>
      <c r="L16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0.28647142857142854</v>
      </c>
      <c r="M16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0.28060888334551365</v>
      </c>
      <c r="N169" s="14">
        <f>IF(data[[#This Row],[Weighted_Avg]]&lt;&gt;"", IFERROR(AVERAGE(M157,M145,M133), ""), "")</f>
        <v>0.32780523780895249</v>
      </c>
      <c r="O169" s="14" t="b">
        <f>IF(data[[#This Row],[Date]]&gt;MAX(data[Date])-750, TRUE, FALSE)</f>
        <v>0</v>
      </c>
      <c r="P169" s="3">
        <v>0.28999999999999998</v>
      </c>
      <c r="Q169" s="3">
        <v>0.28499999999999998</v>
      </c>
      <c r="R169">
        <v>3.411</v>
      </c>
    </row>
    <row r="170" spans="1:28">
      <c r="A170" s="4">
        <v>42019</v>
      </c>
      <c r="B170">
        <f>YEAR(data[[#This Row],[Date]])</f>
        <v>2015</v>
      </c>
      <c r="C170" s="6">
        <f t="shared" si="8"/>
        <v>0.6</v>
      </c>
      <c r="D170" s="7">
        <f t="shared" si="6"/>
        <v>0.28999999999999998</v>
      </c>
      <c r="E170" s="7">
        <f t="shared" si="7"/>
        <v>0.1</v>
      </c>
      <c r="F170" s="20">
        <v>0.25879999999999997</v>
      </c>
      <c r="G170" s="16">
        <f>AVERAGE(0.275,0.23)</f>
        <v>0.2525</v>
      </c>
      <c r="H170" s="7">
        <f t="shared" ref="H170:H201" si="9">IF(R168&gt;3.75, ROUNDDOWN((R168-3.75)/0.04, 0)+1, 0)/100</f>
        <v>0</v>
      </c>
      <c r="I170" s="7">
        <v>0.38</v>
      </c>
      <c r="J170" s="7">
        <v>0</v>
      </c>
      <c r="K170" s="7">
        <v>0.31</v>
      </c>
      <c r="L17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0.21304285714285712</v>
      </c>
      <c r="M17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0.23876531525979366</v>
      </c>
      <c r="N170" s="14">
        <f>IF(data[[#This Row],[Weighted_Avg]]&lt;&gt;"", IFERROR(AVERAGE(M158,M146,M134), ""), "")</f>
        <v>0.3302963961849214</v>
      </c>
      <c r="O170" s="14" t="b">
        <f>IF(data[[#This Row],[Date]]&gt;MAX(data[Date])-750, TRUE, FALSE)</f>
        <v>0</v>
      </c>
      <c r="P170" s="3">
        <v>0.29499999999999998</v>
      </c>
      <c r="Q170" s="3">
        <v>3.5000000000000003E-2</v>
      </c>
      <c r="R170">
        <v>2.9969999999999999</v>
      </c>
    </row>
    <row r="171" spans="1:28">
      <c r="A171" s="4">
        <v>42050</v>
      </c>
      <c r="B171">
        <f>YEAR(data[[#This Row],[Date]])</f>
        <v>2015</v>
      </c>
      <c r="C171" s="6">
        <f t="shared" si="8"/>
        <v>0.55000000000000004</v>
      </c>
      <c r="D171" s="7">
        <f t="shared" si="6"/>
        <v>0.23</v>
      </c>
      <c r="E171" s="7">
        <f t="shared" si="7"/>
        <v>0.05</v>
      </c>
      <c r="F171" s="20">
        <v>0.2185</v>
      </c>
      <c r="G171" s="16">
        <f>AVERAGE(0.195,0.15)</f>
        <v>0.17249999999999999</v>
      </c>
      <c r="H171" s="7">
        <f t="shared" si="9"/>
        <v>0</v>
      </c>
      <c r="I171" s="7">
        <v>0.32</v>
      </c>
      <c r="J171" s="7">
        <v>0</v>
      </c>
      <c r="K171" s="7">
        <v>0.27</v>
      </c>
      <c r="L17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0.14014285714285715</v>
      </c>
      <c r="M17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0.11207031450153104</v>
      </c>
      <c r="N171" s="14">
        <f>IF(data[[#This Row],[Weighted_Avg]]&lt;&gt;"", IFERROR(AVERAGE(M159,M147,M135), ""), "")</f>
        <v>0.32410531720862862</v>
      </c>
      <c r="O171" s="14" t="b">
        <f>IF(data[[#This Row],[Date]]&gt;MAX(data[Date])-750, TRUE, FALSE)</f>
        <v>0</v>
      </c>
      <c r="P171" s="3">
        <v>0.3</v>
      </c>
      <c r="Q171" s="3">
        <v>0.04</v>
      </c>
      <c r="R171">
        <v>2.8580000000000001</v>
      </c>
    </row>
    <row r="172" spans="1:28">
      <c r="A172" s="4">
        <v>42078</v>
      </c>
      <c r="B172">
        <f>YEAR(data[[#This Row],[Date]])</f>
        <v>2015</v>
      </c>
      <c r="C172" s="6">
        <f t="shared" si="8"/>
        <v>0.44</v>
      </c>
      <c r="D172" s="7">
        <f t="shared" si="6"/>
        <v>0.13</v>
      </c>
      <c r="E172" s="7">
        <f t="shared" si="7"/>
        <v>0</v>
      </c>
      <c r="F172" s="20">
        <v>0.13800000000000001</v>
      </c>
      <c r="G172" s="16">
        <f>AVERAGE(0.125,0.13)</f>
        <v>0.1275</v>
      </c>
      <c r="H172" s="7">
        <f t="shared" si="9"/>
        <v>0</v>
      </c>
      <c r="I172" s="7">
        <v>0.22</v>
      </c>
      <c r="J172" s="7">
        <v>0</v>
      </c>
      <c r="K172" s="7">
        <v>0.18</v>
      </c>
      <c r="L17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9.5071428571428571E-2</v>
      </c>
      <c r="M17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7.5771472223387398E-2</v>
      </c>
      <c r="N172" s="14">
        <f>IF(data[[#This Row],[Weighted_Avg]]&lt;&gt;"", IFERROR(AVERAGE(M160,M148,M136), ""), "")</f>
        <v>0.32310523929435825</v>
      </c>
      <c r="O172" s="14" t="b">
        <f>IF(data[[#This Row],[Date]]&gt;MAX(data[Date])-750, TRUE, FALSE)</f>
        <v>0</v>
      </c>
      <c r="P172" s="3">
        <v>0.30499999999999999</v>
      </c>
      <c r="Q172" s="3">
        <v>0.04</v>
      </c>
      <c r="R172">
        <v>2.8969999999999998</v>
      </c>
    </row>
    <row r="173" spans="1:28">
      <c r="A173" s="4">
        <v>42109</v>
      </c>
      <c r="B173">
        <f>YEAR(data[[#This Row],[Date]])</f>
        <v>2015</v>
      </c>
      <c r="C173" s="6">
        <f t="shared" si="8"/>
        <v>0.41</v>
      </c>
      <c r="D173" s="7">
        <f t="shared" si="6"/>
        <v>0.09</v>
      </c>
      <c r="E173" s="7">
        <f t="shared" si="7"/>
        <v>0</v>
      </c>
      <c r="F173" s="20">
        <v>0.10929999999999999</v>
      </c>
      <c r="G173" s="16">
        <f>AVERAGE(0.145,0.135)</f>
        <v>0.14000000000000001</v>
      </c>
      <c r="H173" s="7">
        <f t="shared" si="9"/>
        <v>0</v>
      </c>
      <c r="I173" s="7">
        <v>0.18</v>
      </c>
      <c r="J173" s="7">
        <v>0</v>
      </c>
      <c r="K173" s="7">
        <v>0.16</v>
      </c>
      <c r="L17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8.4185714285714294E-2</v>
      </c>
      <c r="M17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6.9142828093792241E-2</v>
      </c>
      <c r="N173" s="14">
        <f>IF(data[[#This Row],[Weighted_Avg]]&lt;&gt;"", IFERROR(AVERAGE(M161,M149,M137), ""), "")</f>
        <v>0.35026275964738368</v>
      </c>
      <c r="O173" s="14" t="b">
        <f>IF(data[[#This Row],[Date]]&gt;MAX(data[Date])-750, TRUE, FALSE)</f>
        <v>0</v>
      </c>
      <c r="P173" s="3">
        <v>0.30499999999999999</v>
      </c>
      <c r="Q173" s="3">
        <v>0.04</v>
      </c>
      <c r="R173">
        <v>2.782</v>
      </c>
    </row>
    <row r="174" spans="1:28">
      <c r="A174" s="4">
        <v>42139</v>
      </c>
      <c r="B174">
        <f>YEAR(data[[#This Row],[Date]])</f>
        <v>2015</v>
      </c>
      <c r="C174" s="6">
        <f t="shared" si="8"/>
        <v>0.42</v>
      </c>
      <c r="D174" s="7">
        <f t="shared" si="6"/>
        <v>0.1</v>
      </c>
      <c r="E174" s="7">
        <f t="shared" si="7"/>
        <v>0</v>
      </c>
      <c r="F174" s="20">
        <v>0.115</v>
      </c>
      <c r="G174" s="16">
        <f>AVERAGE(0.12,0.11)</f>
        <v>0.11499999999999999</v>
      </c>
      <c r="H174" s="7">
        <f t="shared" si="9"/>
        <v>0</v>
      </c>
      <c r="I174" s="7">
        <v>0.19</v>
      </c>
      <c r="J174" s="7">
        <v>0</v>
      </c>
      <c r="K174" s="7">
        <v>0.16</v>
      </c>
      <c r="L17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8.2857142857142851E-2</v>
      </c>
      <c r="M17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6.6400175529735192E-2</v>
      </c>
      <c r="N174" s="14">
        <f>IF(data[[#This Row],[Weighted_Avg]]&lt;&gt;"", IFERROR(AVERAGE(M162,M150,M138), ""), "")</f>
        <v>0.35553525938320457</v>
      </c>
      <c r="O174" s="14" t="b">
        <f>IF(data[[#This Row],[Date]]&gt;MAX(data[Date])-750, TRUE, FALSE)</f>
        <v>0</v>
      </c>
      <c r="P174" s="3">
        <v>0.30499999999999999</v>
      </c>
      <c r="Q174" s="3">
        <v>0.04</v>
      </c>
      <c r="R174">
        <v>2.8879999999999999</v>
      </c>
    </row>
    <row r="175" spans="1:28">
      <c r="A175" s="4">
        <v>42170</v>
      </c>
      <c r="B175">
        <f>YEAR(data[[#This Row],[Date]])</f>
        <v>2015</v>
      </c>
      <c r="C175" s="6">
        <f t="shared" si="8"/>
        <v>0.39</v>
      </c>
      <c r="D175" s="7">
        <f t="shared" si="6"/>
        <v>0.08</v>
      </c>
      <c r="E175" s="7">
        <f t="shared" si="7"/>
        <v>0</v>
      </c>
      <c r="F175" s="20">
        <v>9.7799999999999998E-2</v>
      </c>
      <c r="G175" s="16">
        <f>AVERAGE(0.14,0.125)</f>
        <v>0.13250000000000001</v>
      </c>
      <c r="H175" s="7">
        <f t="shared" si="9"/>
        <v>0</v>
      </c>
      <c r="I175" s="7">
        <v>0.17</v>
      </c>
      <c r="J175" s="7">
        <v>0</v>
      </c>
      <c r="K175" s="7">
        <v>0.14000000000000001</v>
      </c>
      <c r="L17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7.7185714285714288E-2</v>
      </c>
      <c r="M17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6.2685553128398075E-2</v>
      </c>
      <c r="N175" s="14">
        <f>IF(data[[#This Row],[Weighted_Avg]]&lt;&gt;"", IFERROR(AVERAGE(M163,M151,M139), ""), "")</f>
        <v>0.34256565937108369</v>
      </c>
      <c r="O175" s="14" t="b">
        <f>IF(data[[#This Row],[Date]]&gt;MAX(data[Date])-750, TRUE, FALSE)</f>
        <v>0</v>
      </c>
      <c r="P175" s="3">
        <v>0.30499999999999999</v>
      </c>
      <c r="Q175" s="3">
        <v>0.04</v>
      </c>
      <c r="R175">
        <v>2.8730000000000002</v>
      </c>
    </row>
    <row r="176" spans="1:28">
      <c r="A176" s="4">
        <v>42200</v>
      </c>
      <c r="B176">
        <f>YEAR(data[[#This Row],[Date]])</f>
        <v>2015</v>
      </c>
      <c r="C176" s="6">
        <f t="shared" si="8"/>
        <v>0.41</v>
      </c>
      <c r="D176" s="7">
        <f t="shared" si="6"/>
        <v>0.1</v>
      </c>
      <c r="E176" s="7">
        <f t="shared" si="7"/>
        <v>0</v>
      </c>
      <c r="F176" s="20">
        <v>0.115</v>
      </c>
      <c r="G176" s="16">
        <f>AVERAGE(0.135,0.13)</f>
        <v>0.13250000000000001</v>
      </c>
      <c r="H176" s="7">
        <f t="shared" si="9"/>
        <v>0</v>
      </c>
      <c r="I176" s="7">
        <v>0.19</v>
      </c>
      <c r="J176" s="7">
        <v>0</v>
      </c>
      <c r="K176" s="11">
        <v>0.16</v>
      </c>
      <c r="L17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8.5357142857142868E-2</v>
      </c>
      <c r="M17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6.9068358183912576E-2</v>
      </c>
      <c r="N176" s="14">
        <f>IF(data[[#This Row],[Weighted_Avg]]&lt;&gt;"", IFERROR(AVERAGE(M164,M152,M140), ""), "")</f>
        <v>0.32687316583707221</v>
      </c>
      <c r="O176" s="14" t="b">
        <f>IF(data[[#This Row],[Date]]&gt;MAX(data[Date])-750, TRUE, FALSE)</f>
        <v>0</v>
      </c>
      <c r="P176" s="3">
        <v>0.30499999999999999</v>
      </c>
      <c r="Q176" s="3">
        <v>0.04</v>
      </c>
      <c r="R176">
        <v>2.7879999999999998</v>
      </c>
    </row>
    <row r="177" spans="1:18">
      <c r="A177" s="4">
        <v>42231</v>
      </c>
      <c r="B177">
        <f>YEAR(data[[#This Row],[Date]])</f>
        <v>2015</v>
      </c>
      <c r="C177" s="6">
        <f t="shared" si="8"/>
        <v>0.41</v>
      </c>
      <c r="D177" s="7">
        <f t="shared" si="6"/>
        <v>0.1</v>
      </c>
      <c r="E177" s="7">
        <f t="shared" si="7"/>
        <v>0</v>
      </c>
      <c r="F177" s="20">
        <v>0.115</v>
      </c>
      <c r="G177" s="16">
        <f>AVERAGE(0.115, 0.125)</f>
        <v>0.12</v>
      </c>
      <c r="H177" s="7">
        <f t="shared" si="9"/>
        <v>0</v>
      </c>
      <c r="I177" s="7">
        <v>0.19</v>
      </c>
      <c r="J177" s="7">
        <v>0</v>
      </c>
      <c r="K177" s="11">
        <v>0.16</v>
      </c>
      <c r="L17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8.357142857142856E-2</v>
      </c>
      <c r="M17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6.716251343092873E-2</v>
      </c>
      <c r="N177" s="14">
        <f>IF(data[[#This Row],[Weighted_Avg]]&lt;&gt;"", IFERROR(AVERAGE(M165,M153,M141), ""), "")</f>
        <v>0.31085882332955256</v>
      </c>
      <c r="O177" s="14" t="b">
        <f>IF(data[[#This Row],[Date]]&gt;MAX(data[Date])-750, TRUE, FALSE)</f>
        <v>0</v>
      </c>
      <c r="P177" s="3">
        <v>0.30499999999999999</v>
      </c>
      <c r="Q177" s="3">
        <v>0.04</v>
      </c>
      <c r="R177">
        <v>2.5950000000000002</v>
      </c>
    </row>
    <row r="178" spans="1:18">
      <c r="A178" s="4">
        <v>42262</v>
      </c>
      <c r="B178">
        <f>YEAR(data[[#This Row],[Date]])</f>
        <v>2015</v>
      </c>
      <c r="C178" s="6">
        <f t="shared" si="8"/>
        <v>0.39</v>
      </c>
      <c r="D178" s="7">
        <f t="shared" si="6"/>
        <v>0.08</v>
      </c>
      <c r="E178" s="7">
        <f t="shared" si="7"/>
        <v>0</v>
      </c>
      <c r="F178" s="20">
        <v>9.7799999999999998E-2</v>
      </c>
      <c r="G178" s="16">
        <f>AVERAGE(0.075,0.08)</f>
        <v>7.7499999999999999E-2</v>
      </c>
      <c r="H178" s="7">
        <f t="shared" si="9"/>
        <v>0</v>
      </c>
      <c r="I178" s="7">
        <v>0.17</v>
      </c>
      <c r="J178" s="7">
        <v>0</v>
      </c>
      <c r="K178" s="7">
        <v>0.14000000000000001</v>
      </c>
      <c r="L17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6.9328571428571434E-2</v>
      </c>
      <c r="M17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5.4299836215269154E-2</v>
      </c>
      <c r="N178" s="14">
        <f>IF(data[[#This Row],[Weighted_Avg]]&lt;&gt;"", IFERROR(AVERAGE(M166,M154,M142), ""), "")</f>
        <v>0.31124443003751195</v>
      </c>
      <c r="O178" s="14" t="b">
        <f>IF(data[[#This Row],[Date]]&gt;MAX(data[Date])-750, TRUE, FALSE)</f>
        <v>0</v>
      </c>
      <c r="P178" s="3">
        <v>0.30499999999999999</v>
      </c>
      <c r="Q178" s="3">
        <v>0.04</v>
      </c>
      <c r="R178">
        <v>2.5049999999999999</v>
      </c>
    </row>
    <row r="179" spans="1:18">
      <c r="A179" s="4">
        <v>42292</v>
      </c>
      <c r="B179">
        <f>YEAR(data[[#This Row],[Date]])</f>
        <v>2015</v>
      </c>
      <c r="C179" s="6">
        <f t="shared" si="8"/>
        <v>0.34</v>
      </c>
      <c r="D179" s="7">
        <f t="shared" si="6"/>
        <v>0.03</v>
      </c>
      <c r="E179" s="7">
        <f t="shared" si="7"/>
        <v>0</v>
      </c>
      <c r="F179" s="20">
        <v>5.7500000000000002E-2</v>
      </c>
      <c r="G179" s="16">
        <f>AVERAGE(0.06,0.055)</f>
        <v>5.7499999999999996E-2</v>
      </c>
      <c r="H179" s="7">
        <f t="shared" si="9"/>
        <v>0</v>
      </c>
      <c r="I179" s="7">
        <v>0.12</v>
      </c>
      <c r="J179" s="7">
        <v>0</v>
      </c>
      <c r="K179" s="7">
        <v>0.1</v>
      </c>
      <c r="L17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4.7857142857142855E-2</v>
      </c>
      <c r="M17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3.7388617671068894E-2</v>
      </c>
      <c r="N179" s="14">
        <f>IF(data[[#This Row],[Weighted_Avg]]&lt;&gt;"", IFERROR(AVERAGE(M167,M155,M143), ""), "")</f>
        <v>0.32894768527666757</v>
      </c>
      <c r="O179" s="14" t="b">
        <f>IF(data[[#This Row],[Date]]&gt;MAX(data[Date])-750, TRUE, FALSE)</f>
        <v>0</v>
      </c>
      <c r="P179" s="3">
        <v>0.30499999999999999</v>
      </c>
      <c r="Q179" s="3">
        <v>0.04</v>
      </c>
      <c r="R179">
        <v>2.5190000000000001</v>
      </c>
    </row>
    <row r="180" spans="1:18">
      <c r="A180" s="4">
        <v>42323</v>
      </c>
      <c r="B180">
        <f>YEAR(data[[#This Row],[Date]])</f>
        <v>2015</v>
      </c>
      <c r="C180" s="6">
        <f t="shared" si="8"/>
        <v>0.32</v>
      </c>
      <c r="D180" s="7">
        <f t="shared" si="6"/>
        <v>0.01</v>
      </c>
      <c r="E180" s="7">
        <f t="shared" si="7"/>
        <v>0</v>
      </c>
      <c r="F180" s="20">
        <v>4.0300000000000002E-2</v>
      </c>
      <c r="G180" s="16">
        <f>AVERAGE(0.05,0.06)</f>
        <v>5.5E-2</v>
      </c>
      <c r="H180" s="7">
        <f t="shared" si="9"/>
        <v>0</v>
      </c>
      <c r="I180" s="7">
        <v>0.1</v>
      </c>
      <c r="J180" s="7">
        <v>0</v>
      </c>
      <c r="K180" s="7">
        <v>0.09</v>
      </c>
      <c r="L18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4.075714285714286E-2</v>
      </c>
      <c r="M18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3.2352320896750442E-2</v>
      </c>
      <c r="N180" s="14">
        <f>IF(data[[#This Row],[Weighted_Avg]]&lt;&gt;"", IFERROR(AVERAGE(M168,M156,M144), ""), "")</f>
        <v>0.33404548676098206</v>
      </c>
      <c r="O180" s="14" t="b">
        <f>IF(data[[#This Row],[Date]]&gt;MAX(data[Date])-750, TRUE, FALSE)</f>
        <v>0</v>
      </c>
      <c r="P180" s="3">
        <v>0.30499999999999999</v>
      </c>
      <c r="Q180" s="3">
        <v>3.9E-2</v>
      </c>
      <c r="R180">
        <v>2.4670000000000001</v>
      </c>
    </row>
    <row r="181" spans="1:18">
      <c r="A181" s="4">
        <v>42353</v>
      </c>
      <c r="B181">
        <f>YEAR(data[[#This Row],[Date]])</f>
        <v>2015</v>
      </c>
      <c r="C181" s="6">
        <f t="shared" si="8"/>
        <v>0.32</v>
      </c>
      <c r="D181" s="7">
        <f t="shared" si="6"/>
        <v>0.01</v>
      </c>
      <c r="E181" s="7">
        <f t="shared" si="7"/>
        <v>0</v>
      </c>
      <c r="F181" s="20">
        <v>4.5999999999999999E-2</v>
      </c>
      <c r="G181" s="16">
        <f>AVERAGE(0.055,0.045)</f>
        <v>0.05</v>
      </c>
      <c r="H181" s="7">
        <f t="shared" si="9"/>
        <v>0</v>
      </c>
      <c r="I181" s="7">
        <v>0.1</v>
      </c>
      <c r="J181" s="7">
        <v>0</v>
      </c>
      <c r="K181" s="7">
        <v>0.09</v>
      </c>
      <c r="L18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4.0857142857142863E-2</v>
      </c>
      <c r="M18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3.2365749760421274E-2</v>
      </c>
      <c r="N181" s="14">
        <f>IF(data[[#This Row],[Weighted_Avg]]&lt;&gt;"", IFERROR(AVERAGE(M169,M157,M145), ""), "")</f>
        <v>0.31838354982059747</v>
      </c>
      <c r="O181" s="14" t="b">
        <f>IF(data[[#This Row],[Date]]&gt;MAX(data[Date])-750, TRUE, FALSE)</f>
        <v>0</v>
      </c>
      <c r="P181" s="3">
        <v>0.30499999999999999</v>
      </c>
      <c r="Q181" s="3">
        <v>0.04</v>
      </c>
      <c r="R181">
        <v>2.31</v>
      </c>
    </row>
    <row r="182" spans="1:18">
      <c r="A182" s="4">
        <v>42384</v>
      </c>
      <c r="B182">
        <f>YEAR(data[[#This Row],[Date]])</f>
        <v>2016</v>
      </c>
      <c r="C182" s="6">
        <f t="shared" si="8"/>
        <v>0.31</v>
      </c>
      <c r="D182" s="7">
        <f t="shared" si="6"/>
        <v>0</v>
      </c>
      <c r="E182" s="7">
        <f t="shared" si="7"/>
        <v>0</v>
      </c>
      <c r="F182" s="20">
        <v>3.4500000000000003E-2</v>
      </c>
      <c r="G182" s="16">
        <f>AVERAGE(0.035,0.015)</f>
        <v>2.5000000000000001E-2</v>
      </c>
      <c r="H182" s="7">
        <f t="shared" si="9"/>
        <v>0</v>
      </c>
      <c r="I182" s="7">
        <v>0.09</v>
      </c>
      <c r="J182" s="7">
        <v>0</v>
      </c>
      <c r="K182" s="7">
        <v>0.08</v>
      </c>
      <c r="L18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3.2785714285714286E-2</v>
      </c>
      <c r="M18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2.5249924444910567E-2</v>
      </c>
      <c r="N182" s="14">
        <f>IF(data[[#This Row],[Weighted_Avg]]&lt;&gt;"", IFERROR(AVERAGE(M170,M158,M146), ""), "")</f>
        <v>0.29871051527244591</v>
      </c>
      <c r="O182" s="36" t="b">
        <f>IF(data[[#This Row],[Date]]&gt;MAX(data[Date])-750, TRUE, FALSE)</f>
        <v>0</v>
      </c>
      <c r="P182" s="37">
        <v>0.30499999999999999</v>
      </c>
      <c r="Q182" s="37">
        <v>0.04</v>
      </c>
      <c r="R182">
        <v>2.1429999999999998</v>
      </c>
    </row>
    <row r="183" spans="1:18">
      <c r="A183" s="4">
        <v>42415</v>
      </c>
      <c r="B183">
        <f>YEAR(data[[#This Row],[Date]])</f>
        <v>2016</v>
      </c>
      <c r="C183" s="6">
        <f t="shared" si="8"/>
        <v>0.27</v>
      </c>
      <c r="D183" s="7">
        <f t="shared" si="6"/>
        <v>-0.04</v>
      </c>
      <c r="E183" s="7">
        <f t="shared" si="7"/>
        <v>0</v>
      </c>
      <c r="F183" s="20">
        <v>5.7999999999999996E-3</v>
      </c>
      <c r="G183" s="16">
        <f>AVERAGE(0, 0)</f>
        <v>0</v>
      </c>
      <c r="H183" s="7">
        <f t="shared" si="9"/>
        <v>0</v>
      </c>
      <c r="I183" s="7">
        <v>0.05</v>
      </c>
      <c r="J183" s="7">
        <v>0</v>
      </c>
      <c r="K183" s="7">
        <v>0.05</v>
      </c>
      <c r="L18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1.5114285714285716E-2</v>
      </c>
      <c r="M18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1.1435083749791332E-2</v>
      </c>
      <c r="N183" s="14">
        <f>IF(data[[#This Row],[Weighted_Avg]]&lt;&gt;"", IFERROR(AVERAGE(M171,M159,M147), ""), "")</f>
        <v>0.25606849949796295</v>
      </c>
      <c r="O183" s="14" t="b">
        <f>IF(data[[#This Row],[Date]]&gt;MAX(data[Date])-750, TRUE, FALSE)</f>
        <v>0</v>
      </c>
      <c r="P183" s="3">
        <v>0.3</v>
      </c>
      <c r="Q183" s="3">
        <v>0.03</v>
      </c>
      <c r="R183">
        <v>1.998</v>
      </c>
    </row>
    <row r="184" spans="1:18">
      <c r="A184" s="4">
        <v>42444</v>
      </c>
      <c r="B184">
        <f>YEAR(data[[#This Row],[Date]])</f>
        <v>2016</v>
      </c>
      <c r="C184" s="6">
        <f t="shared" si="8"/>
        <v>0.23</v>
      </c>
      <c r="D184" s="7">
        <f t="shared" si="6"/>
        <v>-0.08</v>
      </c>
      <c r="E184" s="7">
        <f t="shared" si="7"/>
        <v>0</v>
      </c>
      <c r="F184" s="20">
        <v>0</v>
      </c>
      <c r="G184" s="16">
        <f>AVERAGE(0, 0)</f>
        <v>0</v>
      </c>
      <c r="H184" s="7">
        <f t="shared" si="9"/>
        <v>0</v>
      </c>
      <c r="I184" s="7">
        <v>0</v>
      </c>
      <c r="J184" s="7">
        <v>0</v>
      </c>
      <c r="K184" s="7">
        <v>0</v>
      </c>
      <c r="L18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4" s="14">
        <f>IF(data[[#This Row],[Weighted_Avg]]&lt;&gt;"", IFERROR(AVERAGE(M172,M160,M148), ""), "")</f>
        <v>0.24429595506440119</v>
      </c>
      <c r="O184" s="14" t="b">
        <f>IF(data[[#This Row],[Date]]&gt;MAX(data[Date])-750, TRUE, FALSE)</f>
        <v>0</v>
      </c>
      <c r="P184" s="3">
        <v>0.3</v>
      </c>
      <c r="Q184" s="3">
        <v>0.03</v>
      </c>
      <c r="R184">
        <v>2.09</v>
      </c>
    </row>
    <row r="185" spans="1:18">
      <c r="A185" s="4">
        <v>42475</v>
      </c>
      <c r="B185">
        <f>YEAR(data[[#This Row],[Date]])</f>
        <v>2016</v>
      </c>
      <c r="C185" s="6">
        <f t="shared" si="8"/>
        <v>0.19</v>
      </c>
      <c r="D185" s="7">
        <f t="shared" si="6"/>
        <v>-0.12</v>
      </c>
      <c r="E185" s="7">
        <f t="shared" si="7"/>
        <v>0</v>
      </c>
      <c r="F185" s="20">
        <v>0</v>
      </c>
      <c r="G185" s="16">
        <f>AVERAGE(0, 0)</f>
        <v>0</v>
      </c>
      <c r="H185" s="7">
        <f t="shared" si="9"/>
        <v>0</v>
      </c>
      <c r="I185" s="7">
        <v>0</v>
      </c>
      <c r="J185" s="7">
        <v>0</v>
      </c>
      <c r="K185" s="7">
        <v>0</v>
      </c>
      <c r="L18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5" s="14">
        <f>IF(data[[#This Row],[Weighted_Avg]]&lt;&gt;"", IFERROR(AVERAGE(M173,M161,M149), ""), "")</f>
        <v>0.25979653422089566</v>
      </c>
      <c r="O185" s="14" t="b">
        <f>IF(data[[#This Row],[Date]]&gt;MAX(data[Date])-750, TRUE, FALSE)</f>
        <v>0</v>
      </c>
      <c r="P185" s="3">
        <v>0.29499999999999998</v>
      </c>
      <c r="Q185" s="3">
        <v>0.03</v>
      </c>
      <c r="R185">
        <v>2.1520000000000001</v>
      </c>
    </row>
    <row r="186" spans="1:18">
      <c r="A186" s="4">
        <v>42505</v>
      </c>
      <c r="B186">
        <f>YEAR(data[[#This Row],[Date]])</f>
        <v>2016</v>
      </c>
      <c r="C186" s="6">
        <f t="shared" si="8"/>
        <v>0.22</v>
      </c>
      <c r="D186" s="7">
        <f t="shared" si="6"/>
        <v>-0.1</v>
      </c>
      <c r="E186" s="7">
        <f t="shared" si="7"/>
        <v>0</v>
      </c>
      <c r="F186" s="20">
        <v>0</v>
      </c>
      <c r="G186" s="16">
        <f>AVERAGE(0, 0)</f>
        <v>0</v>
      </c>
      <c r="H186" s="7">
        <f t="shared" si="9"/>
        <v>0</v>
      </c>
      <c r="I186" s="7">
        <v>0</v>
      </c>
      <c r="J186" s="7">
        <v>0</v>
      </c>
      <c r="K186" s="7">
        <v>0</v>
      </c>
      <c r="L18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v>
      </c>
      <c r="M18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v>
      </c>
      <c r="N186" s="14">
        <f>IF(data[[#This Row],[Weighted_Avg]]&lt;&gt;"", IFERROR(AVERAGE(M174,M162,M150), ""), "")</f>
        <v>0.25507629597242831</v>
      </c>
      <c r="O186" s="14" t="b">
        <f>IF(data[[#This Row],[Date]]&gt;MAX(data[Date])-750, TRUE, FALSE)</f>
        <v>0</v>
      </c>
      <c r="P186" s="3">
        <v>0.29499999999999998</v>
      </c>
      <c r="Q186" s="3">
        <v>0.03</v>
      </c>
      <c r="R186">
        <v>2.3149999999999999</v>
      </c>
    </row>
    <row r="187" spans="1:18">
      <c r="A187" s="4">
        <v>42536</v>
      </c>
      <c r="B187">
        <f>YEAR(data[[#This Row],[Date]])</f>
        <v>2016</v>
      </c>
      <c r="C187" s="6">
        <f t="shared" si="8"/>
        <v>0.23</v>
      </c>
      <c r="D187" s="7">
        <f t="shared" si="6"/>
        <v>-0.08</v>
      </c>
      <c r="E187" s="7">
        <f t="shared" si="7"/>
        <v>0</v>
      </c>
      <c r="F187" s="20">
        <v>0</v>
      </c>
      <c r="G187" s="16">
        <f>AVERAGE(0.005, 0.02)</f>
        <v>1.2500000000000001E-2</v>
      </c>
      <c r="H187" s="7">
        <f t="shared" si="9"/>
        <v>0</v>
      </c>
      <c r="I187" s="7">
        <v>0</v>
      </c>
      <c r="J187" s="7">
        <v>0</v>
      </c>
      <c r="K187" s="7">
        <v>0</v>
      </c>
      <c r="L18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1.7857142857142859E-3</v>
      </c>
      <c r="M18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1.8220412347718486E-3</v>
      </c>
      <c r="N187" s="14">
        <f>IF(data[[#This Row],[Weighted_Avg]]&lt;&gt;"", IFERROR(AVERAGE(M175,M163,M151), ""), "")</f>
        <v>0.24225114870290052</v>
      </c>
      <c r="O187" s="14" t="b">
        <f>IF(data[[#This Row],[Date]]&gt;MAX(data[Date])-750, TRUE, FALSE)</f>
        <v>0</v>
      </c>
      <c r="P187" s="3">
        <v>0.29499999999999998</v>
      </c>
      <c r="Q187" s="3">
        <v>0.03</v>
      </c>
      <c r="R187">
        <v>2.423</v>
      </c>
    </row>
    <row r="188" spans="1:18">
      <c r="A188" s="4">
        <v>42566</v>
      </c>
      <c r="B188">
        <f>YEAR(data[[#This Row],[Date]])</f>
        <v>2016</v>
      </c>
      <c r="C188" s="6">
        <f t="shared" si="8"/>
        <v>0.27</v>
      </c>
      <c r="D188" s="7">
        <f t="shared" si="6"/>
        <v>-0.04</v>
      </c>
      <c r="E188" s="7">
        <f t="shared" si="7"/>
        <v>0</v>
      </c>
      <c r="F188" s="20">
        <v>5.7999999999999996E-3</v>
      </c>
      <c r="G188" s="16">
        <f>AVERAGE(0.035, 0.04)</f>
        <v>3.7500000000000006E-2</v>
      </c>
      <c r="H188" s="7">
        <f t="shared" si="9"/>
        <v>0</v>
      </c>
      <c r="I188" s="7">
        <v>0.05</v>
      </c>
      <c r="J188" s="7">
        <v>0</v>
      </c>
      <c r="K188" s="7">
        <v>0.05</v>
      </c>
      <c r="L18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2.0471428571428574E-2</v>
      </c>
      <c r="M18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1.6901207454106879E-2</v>
      </c>
      <c r="N188" s="14">
        <f>IF(data[[#This Row],[Weighted_Avg]]&lt;&gt;"", IFERROR(AVERAGE(M176,M164,M152), ""), "")</f>
        <v>0.23991272877985251</v>
      </c>
      <c r="O188" s="14" t="b">
        <f>IF(data[[#This Row],[Date]]&gt;MAX(data[Date])-750, TRUE, FALSE)</f>
        <v>0</v>
      </c>
      <c r="P188" s="3">
        <v>0.29499999999999998</v>
      </c>
      <c r="Q188" s="3">
        <v>0.03</v>
      </c>
      <c r="R188">
        <v>2.4049999999999998</v>
      </c>
    </row>
    <row r="189" spans="1:18">
      <c r="A189" s="4">
        <v>42597</v>
      </c>
      <c r="B189">
        <f>YEAR(data[[#This Row],[Date]])</f>
        <v>2016</v>
      </c>
      <c r="C189" s="6">
        <f t="shared" si="8"/>
        <v>0.3</v>
      </c>
      <c r="D189" s="7">
        <f t="shared" ref="D189:D252" si="10">IF(R187&gt;2.5,ROUNDDOWN((R187-2.5)/0.04,0)+1,ROUNDUP((R187-2.5)/0.04,0)+1)/100</f>
        <v>-0.01</v>
      </c>
      <c r="E189" s="7">
        <f t="shared" si="7"/>
        <v>0</v>
      </c>
      <c r="F189" s="20">
        <v>2.8799999999999999E-2</v>
      </c>
      <c r="G189" s="16">
        <f>AVERAGE(0.04, 0.03)</f>
        <v>3.5000000000000003E-2</v>
      </c>
      <c r="H189" s="7">
        <f t="shared" si="9"/>
        <v>0</v>
      </c>
      <c r="I189" s="7">
        <v>0.08</v>
      </c>
      <c r="J189" s="7">
        <v>0</v>
      </c>
      <c r="K189" s="7">
        <v>7.0000000000000007E-2</v>
      </c>
      <c r="L18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3.0542857142857142E-2</v>
      </c>
      <c r="M18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2.3875286628393701E-2</v>
      </c>
      <c r="N189" s="14">
        <f>IF(data[[#This Row],[Weighted_Avg]]&lt;&gt;"", IFERROR(AVERAGE(M177,M165,M153), ""), "")</f>
        <v>0.23571032154251359</v>
      </c>
      <c r="O189" s="14" t="b">
        <f>IF(data[[#This Row],[Date]]&gt;MAX(data[Date])-750, TRUE, FALSE)</f>
        <v>0</v>
      </c>
      <c r="P189" s="3">
        <v>0.29499999999999998</v>
      </c>
      <c r="Q189" s="3">
        <v>0.03</v>
      </c>
      <c r="R189">
        <v>2.351</v>
      </c>
    </row>
    <row r="190" spans="1:18">
      <c r="A190" s="4">
        <v>42628</v>
      </c>
      <c r="B190">
        <f>YEAR(data[[#This Row],[Date]])</f>
        <v>2016</v>
      </c>
      <c r="C190" s="6">
        <f t="shared" si="8"/>
        <v>0.28999999999999998</v>
      </c>
      <c r="D190" s="7">
        <f t="shared" si="10"/>
        <v>-0.02</v>
      </c>
      <c r="E190" s="7">
        <f t="shared" si="7"/>
        <v>0</v>
      </c>
      <c r="F190" s="20">
        <v>2.3E-2</v>
      </c>
      <c r="G190" s="16">
        <f>AVERAGE(0.02, 0.02)</f>
        <v>0.02</v>
      </c>
      <c r="H190" s="7">
        <f t="shared" si="9"/>
        <v>0</v>
      </c>
      <c r="I190" s="7">
        <v>7.0000000000000007E-2</v>
      </c>
      <c r="J190" s="7">
        <v>0</v>
      </c>
      <c r="K190" s="7">
        <v>7.0000000000000007E-2</v>
      </c>
      <c r="L19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2.6142857142857141E-2</v>
      </c>
      <c r="M19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2.0711471403562231E-2</v>
      </c>
      <c r="N190" s="14">
        <f>IF(data[[#This Row],[Weighted_Avg]]&lt;&gt;"", IFERROR(AVERAGE(M178,M166,M154), ""), "")</f>
        <v>0.23130619546209821</v>
      </c>
      <c r="O190" s="14" t="b">
        <f>IF(data[[#This Row],[Date]]&gt;MAX(data[Date])-750, TRUE, FALSE)</f>
        <v>0</v>
      </c>
      <c r="P190" s="3">
        <v>0.29499999999999998</v>
      </c>
      <c r="Q190" s="3">
        <v>3.5000000000000003E-2</v>
      </c>
      <c r="R190">
        <v>2.3940000000000001</v>
      </c>
    </row>
    <row r="191" spans="1:18">
      <c r="A191" s="4">
        <v>42658</v>
      </c>
      <c r="B191">
        <f>YEAR(data[[#This Row],[Date]])</f>
        <v>2016</v>
      </c>
      <c r="C191" s="6">
        <f t="shared" si="8"/>
        <v>0.28000000000000003</v>
      </c>
      <c r="D191" s="7">
        <f t="shared" si="10"/>
        <v>-0.03</v>
      </c>
      <c r="E191" s="7">
        <f t="shared" si="7"/>
        <v>0</v>
      </c>
      <c r="F191" s="20">
        <v>1.15E-2</v>
      </c>
      <c r="G191" s="16">
        <f>AVERAGE(0.035, 0.035)</f>
        <v>3.5000000000000003E-2</v>
      </c>
      <c r="H191" s="7">
        <f t="shared" si="9"/>
        <v>0</v>
      </c>
      <c r="I191" s="7">
        <v>0.06</v>
      </c>
      <c r="J191" s="7">
        <v>0</v>
      </c>
      <c r="K191" s="7">
        <v>0.06</v>
      </c>
      <c r="L19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2.3785714285714282E-2</v>
      </c>
      <c r="M19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1.9369070011486855E-2</v>
      </c>
      <c r="N191" s="14">
        <f>IF(data[[#This Row],[Weighted_Avg]]&lt;&gt;"", IFERROR(AVERAGE(M179,M167,M155), ""), "")</f>
        <v>0.22607496730105855</v>
      </c>
      <c r="O191" s="14" t="b">
        <f>IF(data[[#This Row],[Date]]&gt;MAX(data[Date])-750, TRUE, FALSE)</f>
        <v>0</v>
      </c>
      <c r="P191" s="3">
        <v>0.3</v>
      </c>
      <c r="Q191" s="3">
        <v>4.4999999999999998E-2</v>
      </c>
      <c r="R191">
        <v>2.4540000000000002</v>
      </c>
    </row>
    <row r="192" spans="1:18">
      <c r="A192" s="4">
        <v>42689</v>
      </c>
      <c r="B192">
        <f>YEAR(data[[#This Row],[Date]])</f>
        <v>2016</v>
      </c>
      <c r="C192" s="6">
        <f t="shared" si="8"/>
        <v>0.28999999999999998</v>
      </c>
      <c r="D192" s="7">
        <f t="shared" si="10"/>
        <v>-0.02</v>
      </c>
      <c r="E192" s="7">
        <f t="shared" si="7"/>
        <v>0</v>
      </c>
      <c r="F192" s="20">
        <v>2.3E-2</v>
      </c>
      <c r="G192" s="16">
        <f>AVERAGE(0.035, 0.05)</f>
        <v>4.2500000000000003E-2</v>
      </c>
      <c r="H192" s="7">
        <f t="shared" si="9"/>
        <v>0</v>
      </c>
      <c r="I192" s="7">
        <v>7.0000000000000007E-2</v>
      </c>
      <c r="J192" s="7">
        <v>0</v>
      </c>
      <c r="K192" s="7">
        <v>0.06</v>
      </c>
      <c r="L19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2.7928571428571431E-2</v>
      </c>
      <c r="M19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2.2124230563724746E-2</v>
      </c>
      <c r="N192" s="14">
        <f>IF(data[[#This Row],[Weighted_Avg]]&lt;&gt;"", IFERROR(AVERAGE(M180,M168,M156), ""), "")</f>
        <v>0.22238612549927961</v>
      </c>
      <c r="O192" s="14" t="b">
        <f>IF(data[[#This Row],[Date]]&gt;MAX(data[Date])-750, TRUE, FALSE)</f>
        <v>0</v>
      </c>
      <c r="P192" s="3">
        <v>0.315</v>
      </c>
      <c r="Q192" s="3">
        <v>0.05</v>
      </c>
      <c r="R192">
        <v>2.4390000000000001</v>
      </c>
    </row>
    <row r="193" spans="1:26">
      <c r="A193" s="4">
        <v>42719</v>
      </c>
      <c r="B193">
        <f>YEAR(data[[#This Row],[Date]])</f>
        <v>2016</v>
      </c>
      <c r="C193" s="6">
        <f t="shared" si="8"/>
        <v>0.31</v>
      </c>
      <c r="D193" s="7">
        <f t="shared" si="10"/>
        <v>-0.01</v>
      </c>
      <c r="E193" s="7">
        <f t="shared" si="7"/>
        <v>0</v>
      </c>
      <c r="F193" s="20">
        <v>3.4500000000000003E-2</v>
      </c>
      <c r="G193" s="16">
        <f>AVERAGE(0.05, 0.04)</f>
        <v>4.4999999999999998E-2</v>
      </c>
      <c r="H193" s="7">
        <f t="shared" si="9"/>
        <v>0</v>
      </c>
      <c r="I193" s="7">
        <v>0.08</v>
      </c>
      <c r="J193" s="7">
        <v>0</v>
      </c>
      <c r="K193" s="7">
        <v>0.08</v>
      </c>
      <c r="L19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3.4214285714285711E-2</v>
      </c>
      <c r="M19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2.7884404746907517E-2</v>
      </c>
      <c r="N193" s="14">
        <f>IF(data[[#This Row],[Weighted_Avg]]&lt;&gt;"", IFERROR(AVERAGE(M181,M169,M157), ""), "")</f>
        <v>0.21043800484797437</v>
      </c>
      <c r="O193" s="14" t="b">
        <f>IF(data[[#This Row],[Date]]&gt;MAX(data[Date])-750, TRUE, FALSE)</f>
        <v>0</v>
      </c>
      <c r="P193" s="3">
        <v>0.32</v>
      </c>
      <c r="Q193" s="3">
        <v>0.05</v>
      </c>
      <c r="R193">
        <v>2.5099999999999998</v>
      </c>
    </row>
    <row r="194" spans="1:26">
      <c r="A194" s="4">
        <v>42750</v>
      </c>
      <c r="B194">
        <f>YEAR(data[[#This Row],[Date]])</f>
        <v>2017</v>
      </c>
      <c r="C194" s="6">
        <f t="shared" si="8"/>
        <v>0.3</v>
      </c>
      <c r="D194" s="7">
        <f t="shared" si="10"/>
        <v>-0.01</v>
      </c>
      <c r="E194" s="7">
        <f t="shared" si="7"/>
        <v>0</v>
      </c>
      <c r="F194" s="20">
        <v>2.8799999999999999E-2</v>
      </c>
      <c r="G194" s="16">
        <f>AVERAGE(0.045, 0.06)</f>
        <v>5.2499999999999998E-2</v>
      </c>
      <c r="H194" s="7">
        <f t="shared" si="9"/>
        <v>0</v>
      </c>
      <c r="I194" s="7">
        <v>0.08</v>
      </c>
      <c r="J194" s="7">
        <v>0</v>
      </c>
      <c r="K194" s="7">
        <v>7.0000000000000007E-2</v>
      </c>
      <c r="L19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3.3042857142857145E-2</v>
      </c>
      <c r="M19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2.2748282902011949E-2</v>
      </c>
      <c r="N194" s="14">
        <f>IF(data[[#This Row],[Weighted_Avg]]&lt;&gt;"", IFERROR(AVERAGE(M182,M170,M158), ""), "")</f>
        <v>0.19247836549974187</v>
      </c>
      <c r="O194" s="14" t="b">
        <f>IF(data[[#This Row],[Date]]&gt;MAX(data[Date])-750, TRUE, FALSE)</f>
        <v>0</v>
      </c>
      <c r="P194" s="3">
        <v>0.32</v>
      </c>
      <c r="Q194" s="3">
        <v>0.1</v>
      </c>
      <c r="R194">
        <v>2.58</v>
      </c>
      <c r="V194" t="s">
        <v>33</v>
      </c>
    </row>
    <row r="195" spans="1:26">
      <c r="A195" s="4">
        <v>42781</v>
      </c>
      <c r="B195">
        <f>YEAR(data[[#This Row],[Date]])</f>
        <v>2017</v>
      </c>
      <c r="C195" s="6">
        <f t="shared" si="8"/>
        <v>0.32</v>
      </c>
      <c r="D195" s="7">
        <f t="shared" si="10"/>
        <v>0.01</v>
      </c>
      <c r="E195" s="7">
        <f t="shared" si="7"/>
        <v>0</v>
      </c>
      <c r="F195" s="20">
        <v>4.5999999999999999E-2</v>
      </c>
      <c r="G195" s="16">
        <f>AVERAGE(0.075, 0.07)</f>
        <v>7.2500000000000009E-2</v>
      </c>
      <c r="H195" s="7">
        <f t="shared" si="9"/>
        <v>0</v>
      </c>
      <c r="I195" s="7">
        <v>0.1</v>
      </c>
      <c r="J195" s="7">
        <v>0</v>
      </c>
      <c r="K195" s="7">
        <v>0.09</v>
      </c>
      <c r="L19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4.4071428571428574E-2</v>
      </c>
      <c r="M19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2.9977872238442629E-2</v>
      </c>
      <c r="N195" s="14">
        <f>IF(data[[#This Row],[Weighted_Avg]]&lt;&gt;"", IFERROR(AVERAGE(M183,M171,M159), ""), "")</f>
        <v>0.14837200396931829</v>
      </c>
      <c r="O195" s="14" t="b">
        <f>IF(data[[#This Row],[Date]]&gt;MAX(data[Date])-750, TRUE, FALSE)</f>
        <v>0</v>
      </c>
      <c r="P195" s="3">
        <v>0.32</v>
      </c>
      <c r="Q195" s="3">
        <v>0.1</v>
      </c>
      <c r="R195">
        <v>2.5680000000000001</v>
      </c>
      <c r="T195" t="s">
        <v>34</v>
      </c>
      <c r="U195" t="s">
        <v>35</v>
      </c>
      <c r="V195" t="s">
        <v>36</v>
      </c>
      <c r="W195" t="s">
        <v>37</v>
      </c>
      <c r="X195" t="s">
        <v>38</v>
      </c>
    </row>
    <row r="196" spans="1:26">
      <c r="A196" s="4">
        <v>42809</v>
      </c>
      <c r="B196">
        <f>YEAR(data[[#This Row],[Date]])</f>
        <v>2017</v>
      </c>
      <c r="C196" s="6">
        <f t="shared" si="8"/>
        <v>0.34</v>
      </c>
      <c r="D196" s="7">
        <f t="shared" si="10"/>
        <v>0.03</v>
      </c>
      <c r="E196" s="7">
        <f t="shared" ref="E196:E259" si="11">IF(R194&gt;3.25, ROUNDDOWN((R194-3.25)/0.04, 0)+1, 0)/100</f>
        <v>0</v>
      </c>
      <c r="F196" s="20">
        <v>5.7500000000000002E-2</v>
      </c>
      <c r="G196" s="16">
        <f>AVERAGE(0.065, 0.07)</f>
        <v>6.7500000000000004E-2</v>
      </c>
      <c r="H196" s="7">
        <f t="shared" si="9"/>
        <v>0</v>
      </c>
      <c r="I196" s="7">
        <v>0.12</v>
      </c>
      <c r="J196" s="7">
        <v>0</v>
      </c>
      <c r="K196" s="7">
        <v>0.1</v>
      </c>
      <c r="L19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4.928571428571428E-2</v>
      </c>
      <c r="M19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3.2695208394657081E-2</v>
      </c>
      <c r="N196" s="14">
        <f>IF(data[[#This Row],[Weighted_Avg]]&lt;&gt;"", IFERROR(AVERAGE(M184,M172,M160), ""), "")</f>
        <v>0.13346407546937303</v>
      </c>
      <c r="O196" s="14" t="b">
        <f>IF(data[[#This Row],[Date]]&gt;MAX(data[Date])-750, TRUE, FALSE)</f>
        <v>0</v>
      </c>
      <c r="P196" s="3">
        <f>AVERAGEIFS(X:X,V:V,  "&lt;="&amp;T196,W:W, "&gt;="&amp;T196)</f>
        <v>0.38500000000000001</v>
      </c>
      <c r="Q196" s="3">
        <v>0.1</v>
      </c>
      <c r="R196">
        <v>2.5539999999999998</v>
      </c>
      <c r="T196" s="50">
        <v>14.409000000000001</v>
      </c>
      <c r="U196" s="47">
        <v>0.45</v>
      </c>
      <c r="V196" s="50">
        <v>11.679</v>
      </c>
      <c r="W196" s="50">
        <v>11.827</v>
      </c>
      <c r="X196">
        <v>0.29499999999999998</v>
      </c>
      <c r="Y196" s="50">
        <f>W196-V196</f>
        <v>0.14799999999999969</v>
      </c>
    </row>
    <row r="197" spans="1:26">
      <c r="A197" s="4">
        <v>42840</v>
      </c>
      <c r="B197">
        <f>YEAR(data[[#This Row],[Date]])</f>
        <v>2017</v>
      </c>
      <c r="C197" s="6">
        <f t="shared" si="8"/>
        <v>0.33</v>
      </c>
      <c r="D197" s="7">
        <f t="shared" si="10"/>
        <v>0.02</v>
      </c>
      <c r="E197" s="7">
        <f t="shared" si="11"/>
        <v>0</v>
      </c>
      <c r="F197" s="20">
        <v>5.1799999999999999E-2</v>
      </c>
      <c r="G197" s="16">
        <f>AVERAGE( 0.07,0.065)</f>
        <v>6.7500000000000004E-2</v>
      </c>
      <c r="H197" s="7">
        <f t="shared" si="9"/>
        <v>0</v>
      </c>
      <c r="I197" s="7">
        <v>0.11</v>
      </c>
      <c r="J197" s="7">
        <v>0</v>
      </c>
      <c r="K197" s="7">
        <v>0.1</v>
      </c>
      <c r="L19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4.704285714285715E-2</v>
      </c>
      <c r="M19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3.2235558059332217E-2</v>
      </c>
      <c r="N197" s="14">
        <f>IF(data[[#This Row],[Weighted_Avg]]&lt;&gt;"", IFERROR(AVERAGE(M185,M173,M161), ""), "")</f>
        <v>0.13767361547784326</v>
      </c>
      <c r="O197" s="14" t="b">
        <f>IF(data[[#This Row],[Date]]&gt;MAX(data[Date])-750, TRUE, FALSE)</f>
        <v>0</v>
      </c>
      <c r="P197" s="3">
        <f t="shared" ref="P197:P205" si="12">AVERAGEIFS(X:X,V:V,  "&lt;="&amp;T197,W:W, "&gt;="&amp;T197)</f>
        <v>0.38</v>
      </c>
      <c r="Q197" s="3">
        <v>0.1</v>
      </c>
      <c r="R197">
        <v>2.5830000000000002</v>
      </c>
      <c r="T197" s="50">
        <v>14.358000000000001</v>
      </c>
      <c r="U197" s="48">
        <v>0.47</v>
      </c>
      <c r="V197" s="50">
        <v>11.827999999999999</v>
      </c>
      <c r="W197" s="50">
        <v>11.976000000000001</v>
      </c>
      <c r="X197">
        <v>0.3</v>
      </c>
      <c r="Y197" s="50">
        <f t="shared" ref="Y197:Y219" si="13">W197-V197</f>
        <v>0.14800000000000146</v>
      </c>
      <c r="Z197">
        <f>X197-X196</f>
        <v>5.0000000000000044E-3</v>
      </c>
    </row>
    <row r="198" spans="1:26">
      <c r="A198" s="4">
        <v>42870</v>
      </c>
      <c r="B198">
        <f>YEAR(data[[#This Row],[Date]])</f>
        <v>2017</v>
      </c>
      <c r="C198" s="6">
        <f t="shared" ref="C198:C261" si="14">IF(R196&gt;1.25, ROUNDDOWN((R196-1.25)/0.04, 0)+1, 0)/100</f>
        <v>0.33</v>
      </c>
      <c r="D198" s="7">
        <f t="shared" si="10"/>
        <v>0.02</v>
      </c>
      <c r="E198" s="7">
        <f t="shared" si="11"/>
        <v>0</v>
      </c>
      <c r="F198" s="20">
        <v>5.1799999999999999E-2</v>
      </c>
      <c r="G198" s="16">
        <f>AVERAGE( 0.065,0.075)</f>
        <v>7.0000000000000007E-2</v>
      </c>
      <c r="H198" s="7">
        <f t="shared" si="9"/>
        <v>0</v>
      </c>
      <c r="I198" s="7">
        <v>0.11</v>
      </c>
      <c r="J198" s="7">
        <v>0</v>
      </c>
      <c r="K198" s="7">
        <v>0.1</v>
      </c>
      <c r="L19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4.7399999999999998E-2</v>
      </c>
      <c r="M19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3.2441996157487329E-2</v>
      </c>
      <c r="N198" s="14">
        <f>IF(data[[#This Row],[Weighted_Avg]]&lt;&gt;"", IFERROR(AVERAGE(M186,M174,M162), ""), "")</f>
        <v>0.13716383932760048</v>
      </c>
      <c r="O198" s="14" t="b">
        <f>IF(data[[#This Row],[Date]]&gt;MAX(data[Date])-750, TRUE, FALSE)</f>
        <v>0</v>
      </c>
      <c r="P198" s="3">
        <f t="shared" si="12"/>
        <v>0.38</v>
      </c>
      <c r="Q198" s="3">
        <v>9.5000000000000001E-2</v>
      </c>
      <c r="R198">
        <v>2.56</v>
      </c>
      <c r="T198" s="50">
        <v>14.255000000000001</v>
      </c>
      <c r="U198" s="47">
        <v>0.49</v>
      </c>
      <c r="V198" s="50">
        <v>11.977</v>
      </c>
      <c r="W198" s="50">
        <v>12.125</v>
      </c>
      <c r="X198">
        <v>0.30499999999999999</v>
      </c>
      <c r="Y198" s="50">
        <f t="shared" si="13"/>
        <v>0.14799999999999969</v>
      </c>
      <c r="Z198">
        <f t="shared" ref="Z198:Z219" si="15">X198-X197</f>
        <v>5.0000000000000044E-3</v>
      </c>
    </row>
    <row r="199" spans="1:26">
      <c r="A199" s="4">
        <v>42901</v>
      </c>
      <c r="B199">
        <f>YEAR(data[[#This Row],[Date]])</f>
        <v>2017</v>
      </c>
      <c r="C199" s="6">
        <f t="shared" si="14"/>
        <v>0.34</v>
      </c>
      <c r="D199" s="7">
        <f t="shared" si="10"/>
        <v>0.03</v>
      </c>
      <c r="E199" s="7">
        <f t="shared" si="11"/>
        <v>0</v>
      </c>
      <c r="F199" s="20">
        <v>5.7500000000000002E-2</v>
      </c>
      <c r="G199" s="16">
        <f>AVERAGE(0.07, 0.065)</f>
        <v>6.7500000000000004E-2</v>
      </c>
      <c r="H199" s="7">
        <f t="shared" si="9"/>
        <v>0</v>
      </c>
      <c r="I199" s="7">
        <v>0.12</v>
      </c>
      <c r="J199" s="7">
        <v>0</v>
      </c>
      <c r="K199" s="7">
        <v>0.1</v>
      </c>
      <c r="L19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4.928571428571428E-2</v>
      </c>
      <c r="M19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3.2695208394657081E-2</v>
      </c>
      <c r="N199" s="14">
        <f>IF(data[[#This Row],[Weighted_Avg]]&lt;&gt;"", IFERROR(AVERAGE(M187,M175,M163), ""), "")</f>
        <v>0.13416115329252856</v>
      </c>
      <c r="O199" s="14" t="b">
        <f>IF(data[[#This Row],[Date]]&gt;MAX(data[Date])-750, TRUE, FALSE)</f>
        <v>0</v>
      </c>
      <c r="P199" s="3">
        <f t="shared" si="12"/>
        <v>0.375</v>
      </c>
      <c r="Q199" s="3">
        <v>9.5000000000000001E-2</v>
      </c>
      <c r="R199">
        <v>2.5110000000000001</v>
      </c>
      <c r="T199" s="50">
        <v>14.185</v>
      </c>
      <c r="U199" s="49">
        <v>0.5</v>
      </c>
      <c r="V199" s="50">
        <v>12.125999999999999</v>
      </c>
      <c r="W199" s="50">
        <v>12.273999999999999</v>
      </c>
      <c r="X199">
        <v>0.31</v>
      </c>
      <c r="Y199" s="50">
        <f t="shared" si="13"/>
        <v>0.14799999999999969</v>
      </c>
      <c r="Z199">
        <f t="shared" si="15"/>
        <v>5.0000000000000044E-3</v>
      </c>
    </row>
    <row r="200" spans="1:26">
      <c r="A200" s="4">
        <v>42931</v>
      </c>
      <c r="B200">
        <f>YEAR(data[[#This Row],[Date]])</f>
        <v>2017</v>
      </c>
      <c r="C200" s="6">
        <f t="shared" si="14"/>
        <v>0.33</v>
      </c>
      <c r="D200" s="7">
        <f t="shared" si="10"/>
        <v>0.02</v>
      </c>
      <c r="E200" s="7">
        <f t="shared" si="11"/>
        <v>0</v>
      </c>
      <c r="F200" s="20">
        <v>5.1799999999999999E-2</v>
      </c>
      <c r="G200" s="16">
        <f>AVERAGE(0.07, 0.055)</f>
        <v>6.25E-2</v>
      </c>
      <c r="H200" s="7">
        <f t="shared" si="9"/>
        <v>0</v>
      </c>
      <c r="I200" s="7">
        <v>0.11</v>
      </c>
      <c r="J200" s="7">
        <v>0</v>
      </c>
      <c r="K200" s="7">
        <v>0.1</v>
      </c>
      <c r="L20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4.6328571428571434E-2</v>
      </c>
      <c r="M20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3.1822681863021979E-2</v>
      </c>
      <c r="N200" s="14">
        <f>IF(data[[#This Row],[Weighted_Avg]]&lt;&gt;"", IFERROR(AVERAGE(M188,M176,M164), ""), "")</f>
        <v>0.13947692873284886</v>
      </c>
      <c r="O200" s="14" t="b">
        <f>IF(data[[#This Row],[Date]]&gt;MAX(data[Date])-750, TRUE, FALSE)</f>
        <v>0</v>
      </c>
      <c r="P200" s="3">
        <f t="shared" si="12"/>
        <v>0.375</v>
      </c>
      <c r="Q200" s="3">
        <v>0.09</v>
      </c>
      <c r="R200">
        <v>2.496</v>
      </c>
      <c r="T200" s="50">
        <v>14.121</v>
      </c>
      <c r="U200">
        <v>0.5</v>
      </c>
      <c r="V200" s="50">
        <v>12.275</v>
      </c>
      <c r="W200" s="50">
        <v>12.423</v>
      </c>
      <c r="X200">
        <v>0.315</v>
      </c>
      <c r="Y200" s="50">
        <f t="shared" si="13"/>
        <v>0.14799999999999969</v>
      </c>
      <c r="Z200">
        <f t="shared" si="15"/>
        <v>5.0000000000000044E-3</v>
      </c>
    </row>
    <row r="201" spans="1:26">
      <c r="A201" s="4">
        <v>42962</v>
      </c>
      <c r="B201">
        <f>YEAR(data[[#This Row],[Date]])</f>
        <v>2017</v>
      </c>
      <c r="C201" s="6">
        <f t="shared" si="14"/>
        <v>0.32</v>
      </c>
      <c r="D201" s="7">
        <f t="shared" si="10"/>
        <v>0.01</v>
      </c>
      <c r="E201" s="7">
        <f t="shared" si="11"/>
        <v>0</v>
      </c>
      <c r="F201" s="20">
        <v>4.5999999999999999E-2</v>
      </c>
      <c r="G201" s="16">
        <f>AVERAGE(0.05, 0.055)</f>
        <v>5.2500000000000005E-2</v>
      </c>
      <c r="H201" s="7">
        <f t="shared" si="9"/>
        <v>0</v>
      </c>
      <c r="I201" s="7">
        <v>0.1</v>
      </c>
      <c r="J201" s="7">
        <v>0</v>
      </c>
      <c r="K201" s="7">
        <v>0.09</v>
      </c>
      <c r="L20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4.121428571428571E-2</v>
      </c>
      <c r="M20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2.8326367453201697E-2</v>
      </c>
      <c r="N201" s="14">
        <f>IF(data[[#This Row],[Weighted_Avg]]&lt;&gt;"", IFERROR(AVERAGE(M189,M177,M165), ""), "")</f>
        <v>0.13955785168616724</v>
      </c>
      <c r="O201" s="14" t="b">
        <f>IF(data[[#This Row],[Date]]&gt;MAX(data[Date])-750, TRUE, FALSE)</f>
        <v>0</v>
      </c>
      <c r="P201" s="3">
        <f t="shared" si="12"/>
        <v>0.37</v>
      </c>
      <c r="Q201" s="3">
        <v>0.09</v>
      </c>
      <c r="R201">
        <v>2.5950000000000002</v>
      </c>
      <c r="T201" s="50">
        <v>14.003</v>
      </c>
      <c r="U201">
        <v>0.51</v>
      </c>
      <c r="V201" s="50">
        <v>12.423999999999999</v>
      </c>
      <c r="W201" s="50">
        <v>12.571999999999999</v>
      </c>
      <c r="X201">
        <v>0.32</v>
      </c>
      <c r="Y201" s="50">
        <f t="shared" si="13"/>
        <v>0.14799999999999969</v>
      </c>
      <c r="Z201">
        <f t="shared" si="15"/>
        <v>5.0000000000000044E-3</v>
      </c>
    </row>
    <row r="202" spans="1:26">
      <c r="A202" s="4">
        <v>42993</v>
      </c>
      <c r="B202">
        <f>YEAR(data[[#This Row],[Date]])</f>
        <v>2017</v>
      </c>
      <c r="C202" s="6">
        <f t="shared" si="14"/>
        <v>0.32</v>
      </c>
      <c r="D202" s="7">
        <f t="shared" si="10"/>
        <v>0</v>
      </c>
      <c r="E202" s="7">
        <f t="shared" si="11"/>
        <v>0</v>
      </c>
      <c r="F202" s="20">
        <v>4.0300000000000002E-2</v>
      </c>
      <c r="G202" s="16">
        <f>AVERAGE(0.065, 0.075)</f>
        <v>7.0000000000000007E-2</v>
      </c>
      <c r="H202" s="7">
        <f t="shared" ref="H202:H233" si="16">IF(R200&gt;3.75, ROUNDDOWN((R200-3.75)/0.04, 0)+1, 0)/100</f>
        <v>0</v>
      </c>
      <c r="I202" s="7">
        <v>0.09</v>
      </c>
      <c r="J202" s="7">
        <v>0</v>
      </c>
      <c r="K202" s="7">
        <v>0.08</v>
      </c>
      <c r="L20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4.0042857142857144E-2</v>
      </c>
      <c r="M20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2.7105103560887519E-2</v>
      </c>
      <c r="N202" s="14">
        <f>IF(data[[#This Row],[Weighted_Avg]]&lt;&gt;"", IFERROR(AVERAGE(M190,M178,M166), ""), "")</f>
        <v>0.13148998469600978</v>
      </c>
      <c r="O202" s="36" t="b">
        <f>IF(data[[#This Row],[Date]]&gt;MAX(data[Date])-750, TRUE, FALSE)</f>
        <v>0</v>
      </c>
      <c r="P202" s="3">
        <f t="shared" si="12"/>
        <v>0.36499999999999999</v>
      </c>
      <c r="Q202" s="37">
        <v>0.09</v>
      </c>
      <c r="R202">
        <v>2.7850000000000001</v>
      </c>
      <c r="T202" s="50">
        <v>13.814</v>
      </c>
      <c r="U202">
        <v>0.51</v>
      </c>
      <c r="V202" s="50">
        <v>12.573</v>
      </c>
      <c r="W202" s="50">
        <v>12.721</v>
      </c>
      <c r="X202">
        <v>0.32500000000000001</v>
      </c>
      <c r="Y202" s="50">
        <f t="shared" si="13"/>
        <v>0.14799999999999969</v>
      </c>
      <c r="Z202">
        <f t="shared" si="15"/>
        <v>5.0000000000000044E-3</v>
      </c>
    </row>
    <row r="203" spans="1:26">
      <c r="A203" s="4">
        <v>43023</v>
      </c>
      <c r="B203">
        <f>YEAR(data[[#This Row],[Date]])</f>
        <v>2017</v>
      </c>
      <c r="C203" s="6">
        <f t="shared" si="14"/>
        <v>0.34</v>
      </c>
      <c r="D203" s="7">
        <f t="shared" si="10"/>
        <v>0.03</v>
      </c>
      <c r="E203" s="7">
        <f t="shared" si="11"/>
        <v>0</v>
      </c>
      <c r="F203" s="20">
        <v>5.7500000000000002E-2</v>
      </c>
      <c r="G203" s="16">
        <f>AVERAGE(0.09,0.115)</f>
        <v>0.10250000000000001</v>
      </c>
      <c r="H203" s="7">
        <f t="shared" si="16"/>
        <v>0</v>
      </c>
      <c r="I203" s="7">
        <v>0.12</v>
      </c>
      <c r="J203" s="7">
        <v>0</v>
      </c>
      <c r="K203" s="7">
        <v>0.1</v>
      </c>
      <c r="L20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5.4285714285714284E-2</v>
      </c>
      <c r="M20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3.5585341768828715E-2</v>
      </c>
      <c r="N203" s="14">
        <f>IF(data[[#This Row],[Weighted_Avg]]&lt;&gt;"", IFERROR(AVERAGE(M191,M179,M167), ""), "")</f>
        <v>0.12267519242988084</v>
      </c>
      <c r="O203" s="14" t="b">
        <f>IF(data[[#This Row],[Date]]&gt;MAX(data[Date])-750, TRUE, FALSE)</f>
        <v>0</v>
      </c>
      <c r="P203" s="3">
        <f t="shared" si="12"/>
        <v>0.36499999999999999</v>
      </c>
      <c r="Q203" s="3">
        <v>9.5000000000000001E-2</v>
      </c>
      <c r="R203">
        <v>2.794</v>
      </c>
      <c r="T203" s="50">
        <v>13.864000000000001</v>
      </c>
      <c r="U203">
        <v>0.51</v>
      </c>
      <c r="V203" s="50">
        <v>12.722</v>
      </c>
      <c r="W203" s="50">
        <v>12.87</v>
      </c>
      <c r="X203">
        <v>0.33</v>
      </c>
      <c r="Y203" s="50">
        <f t="shared" si="13"/>
        <v>0.14799999999999969</v>
      </c>
      <c r="Z203">
        <f t="shared" si="15"/>
        <v>5.0000000000000044E-3</v>
      </c>
    </row>
    <row r="204" spans="1:26">
      <c r="A204" s="4">
        <v>43054</v>
      </c>
      <c r="B204">
        <f>YEAR(data[[#This Row],[Date]])</f>
        <v>2017</v>
      </c>
      <c r="C204" s="6">
        <f t="shared" si="14"/>
        <v>0.39</v>
      </c>
      <c r="D204" s="7">
        <f t="shared" si="10"/>
        <v>0.08</v>
      </c>
      <c r="E204" s="7">
        <f t="shared" si="11"/>
        <v>0</v>
      </c>
      <c r="F204" s="20">
        <v>9.7799999999999998E-2</v>
      </c>
      <c r="G204" s="16">
        <f>AVERAGE(0.115,0.115)</f>
        <v>0.115</v>
      </c>
      <c r="H204" s="7">
        <f t="shared" si="16"/>
        <v>0</v>
      </c>
      <c r="I204" s="7">
        <v>0.17</v>
      </c>
      <c r="J204" s="7">
        <v>0</v>
      </c>
      <c r="K204" s="7">
        <v>0.14000000000000001</v>
      </c>
      <c r="L20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7.4685714285714286E-2</v>
      </c>
      <c r="M20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4.8241814572908298E-2</v>
      </c>
      <c r="N204" s="14">
        <f>IF(data[[#This Row],[Weighted_Avg]]&lt;&gt;"", IFERROR(AVERAGE(M192,M180,M168), ""), "")</f>
        <v>0.11825267890861281</v>
      </c>
      <c r="O204" s="14" t="b">
        <f>IF(data[[#This Row],[Date]]&gt;MAX(data[Date])-750, TRUE, FALSE)</f>
        <v>0</v>
      </c>
      <c r="P204" s="3">
        <f t="shared" si="12"/>
        <v>0.375</v>
      </c>
      <c r="Q204" s="3">
        <v>9.5000000000000001E-2</v>
      </c>
      <c r="R204">
        <v>2.9089999999999998</v>
      </c>
      <c r="T204" s="50">
        <v>14.074999999999999</v>
      </c>
      <c r="U204">
        <v>0.53</v>
      </c>
      <c r="V204" s="50">
        <v>12.871</v>
      </c>
      <c r="W204" s="50">
        <v>13.019</v>
      </c>
      <c r="X204">
        <v>0.33500000000000002</v>
      </c>
      <c r="Y204" s="50">
        <f t="shared" si="13"/>
        <v>0.14799999999999969</v>
      </c>
      <c r="Z204">
        <f t="shared" si="15"/>
        <v>5.0000000000000044E-3</v>
      </c>
    </row>
    <row r="205" spans="1:26">
      <c r="A205" s="4">
        <v>43084</v>
      </c>
      <c r="B205">
        <f>YEAR(data[[#This Row],[Date]])</f>
        <v>2017</v>
      </c>
      <c r="C205" s="6">
        <f t="shared" si="14"/>
        <v>0.39</v>
      </c>
      <c r="D205" s="7">
        <f t="shared" si="10"/>
        <v>0.08</v>
      </c>
      <c r="E205" s="7">
        <f t="shared" si="11"/>
        <v>0</v>
      </c>
      <c r="F205" s="20">
        <v>9.7799999999999998E-2</v>
      </c>
      <c r="G205" s="16">
        <f>AVERAGE(0.13, 0.14)</f>
        <v>0.13500000000000001</v>
      </c>
      <c r="H205" s="7">
        <f t="shared" si="16"/>
        <v>0</v>
      </c>
      <c r="I205" s="7">
        <v>0.17</v>
      </c>
      <c r="J205" s="7">
        <v>0</v>
      </c>
      <c r="K205" s="7">
        <v>0.14000000000000001</v>
      </c>
      <c r="L20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7.7542857142857149E-2</v>
      </c>
      <c r="M20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4.9893319358149231E-2</v>
      </c>
      <c r="N205" s="14">
        <f>IF(data[[#This Row],[Weighted_Avg]]&lt;&gt;"", IFERROR(AVERAGE(M193,M181,M169), ""), "")</f>
        <v>0.11361967928428081</v>
      </c>
      <c r="O205" s="14" t="b">
        <f>IF(data[[#This Row],[Date]]&gt;MAX(data[Date])-750, TRUE, FALSE)</f>
        <v>0</v>
      </c>
      <c r="P205" s="3">
        <f t="shared" si="12"/>
        <v>0.38</v>
      </c>
      <c r="Q205" s="3">
        <v>0.1</v>
      </c>
      <c r="R205">
        <v>2.9089999999999998</v>
      </c>
      <c r="T205" s="50">
        <v>14.253</v>
      </c>
      <c r="U205">
        <v>0.51</v>
      </c>
      <c r="V205" s="50">
        <v>13.02</v>
      </c>
      <c r="W205" s="50">
        <v>13.167999999999999</v>
      </c>
      <c r="X205">
        <v>0.34</v>
      </c>
      <c r="Y205" s="50">
        <f t="shared" si="13"/>
        <v>0.14799999999999969</v>
      </c>
      <c r="Z205">
        <f t="shared" si="15"/>
        <v>5.0000000000000044E-3</v>
      </c>
    </row>
    <row r="206" spans="1:26">
      <c r="A206" s="4">
        <v>43115</v>
      </c>
      <c r="B206">
        <f>YEAR(data[[#This Row],[Date]])</f>
        <v>2018</v>
      </c>
      <c r="C206" s="6">
        <f t="shared" si="14"/>
        <v>0.42</v>
      </c>
      <c r="D206" s="7">
        <f t="shared" si="10"/>
        <v>0.11</v>
      </c>
      <c r="E206" s="7">
        <f t="shared" si="11"/>
        <v>0</v>
      </c>
      <c r="F206" s="20">
        <v>0.1208</v>
      </c>
      <c r="G206" s="16">
        <f>AVERAGE(0.14, 0.14)</f>
        <v>0.14000000000000001</v>
      </c>
      <c r="H206" s="7">
        <f t="shared" si="16"/>
        <v>0</v>
      </c>
      <c r="I206" s="7">
        <v>0.2</v>
      </c>
      <c r="J206" s="7">
        <v>0</v>
      </c>
      <c r="K206" s="7">
        <v>0.17</v>
      </c>
      <c r="L20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9.0114285714285716E-2</v>
      </c>
      <c r="M20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5.4781555193368706E-2</v>
      </c>
      <c r="N206" s="14">
        <f>IF(data[[#This Row],[Weighted_Avg]]&lt;&gt;"", IFERROR(AVERAGE(M194,M182,M170), ""), "")</f>
        <v>9.5587840868905385E-2</v>
      </c>
      <c r="O206" s="14" t="b">
        <f>IF(data[[#This Row],[Date]]&gt;MAX(data[Date])-750, TRUE, FALSE)</f>
        <v>0</v>
      </c>
      <c r="P206" s="3">
        <f t="shared" ref="P206:P218" si="17">AVERAGEIFS(X:X,V:V,  "&lt;="&amp;T206,W:W, "&gt;="&amp;T206)</f>
        <v>0.38</v>
      </c>
      <c r="Q206" s="3">
        <v>0.09</v>
      </c>
      <c r="R206">
        <v>3.0179999999999998</v>
      </c>
      <c r="T206" s="50">
        <v>14.359</v>
      </c>
      <c r="U206">
        <v>0.5</v>
      </c>
      <c r="V206" s="50">
        <v>13.169</v>
      </c>
      <c r="W206" s="50">
        <v>13.317</v>
      </c>
      <c r="X206">
        <v>0.34499999999999997</v>
      </c>
      <c r="Y206" s="50">
        <f t="shared" si="13"/>
        <v>0.14799999999999969</v>
      </c>
      <c r="Z206">
        <f t="shared" si="15"/>
        <v>4.9999999999999489E-3</v>
      </c>
    </row>
    <row r="207" spans="1:26">
      <c r="A207" s="4">
        <v>43146</v>
      </c>
      <c r="B207">
        <f>YEAR(data[[#This Row],[Date]])</f>
        <v>2018</v>
      </c>
      <c r="C207" s="6">
        <f t="shared" si="14"/>
        <v>0.42</v>
      </c>
      <c r="D207" s="7">
        <f t="shared" si="10"/>
        <v>0.11</v>
      </c>
      <c r="E207" s="7">
        <f t="shared" si="11"/>
        <v>0</v>
      </c>
      <c r="F207" s="20">
        <v>0.1208</v>
      </c>
      <c r="G207" s="16">
        <f>AVERAGE(0.155,0.165)</f>
        <v>0.16</v>
      </c>
      <c r="H207" s="7">
        <f t="shared" si="16"/>
        <v>0</v>
      </c>
      <c r="I207" s="7">
        <v>0.2</v>
      </c>
      <c r="J207" s="7">
        <v>0</v>
      </c>
      <c r="K207" s="7">
        <v>0.17</v>
      </c>
      <c r="L20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9.297142857142858E-2</v>
      </c>
      <c r="M20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5.6294531524752028E-2</v>
      </c>
      <c r="N207" s="14">
        <f>IF(data[[#This Row],[Weighted_Avg]]&lt;&gt;"", IFERROR(AVERAGE(M195,M183,M171), ""), "")</f>
        <v>5.1161090163255006E-2</v>
      </c>
      <c r="O207" s="14" t="b">
        <f>IF(data[[#This Row],[Date]]&gt;MAX(data[Date])-750, TRUE, FALSE)</f>
        <v>0</v>
      </c>
      <c r="P207" s="3">
        <f t="shared" si="17"/>
        <v>0.37</v>
      </c>
      <c r="Q207" s="3">
        <v>0.09</v>
      </c>
      <c r="R207">
        <v>3.0459999999999998</v>
      </c>
      <c r="T207" s="50">
        <v>13.981999999999999</v>
      </c>
      <c r="U207">
        <v>0.57999999999999996</v>
      </c>
      <c r="V207" s="50">
        <v>13.318</v>
      </c>
      <c r="W207" s="50">
        <v>13.465999999999999</v>
      </c>
      <c r="X207">
        <v>0.35</v>
      </c>
      <c r="Y207" s="50">
        <f t="shared" si="13"/>
        <v>0.14799999999999969</v>
      </c>
      <c r="Z207">
        <f t="shared" si="15"/>
        <v>5.0000000000000044E-3</v>
      </c>
    </row>
    <row r="208" spans="1:26">
      <c r="A208" s="4">
        <v>43174</v>
      </c>
      <c r="B208">
        <f>YEAR(data[[#This Row],[Date]])</f>
        <v>2018</v>
      </c>
      <c r="C208" s="6">
        <f t="shared" si="14"/>
        <v>0.45</v>
      </c>
      <c r="D208" s="7">
        <f t="shared" si="10"/>
        <v>0.13</v>
      </c>
      <c r="E208" s="7">
        <f t="shared" si="11"/>
        <v>0</v>
      </c>
      <c r="F208" s="20">
        <v>0.13800000000000001</v>
      </c>
      <c r="G208" s="16">
        <f>AVERAGE(0.175,0.17)</f>
        <v>0.17249999999999999</v>
      </c>
      <c r="H208" s="7">
        <f t="shared" si="16"/>
        <v>0</v>
      </c>
      <c r="I208" s="7">
        <v>0.22</v>
      </c>
      <c r="J208" s="7">
        <v>0</v>
      </c>
      <c r="K208" s="7">
        <v>0.19</v>
      </c>
      <c r="L20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0.10292857142857141</v>
      </c>
      <c r="M20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6.2485533744512052E-2</v>
      </c>
      <c r="N208" s="14">
        <f>IF(data[[#This Row],[Weighted_Avg]]&lt;&gt;"", IFERROR(AVERAGE(M196,M184,M172), ""), "")</f>
        <v>3.6155560206014827E-2</v>
      </c>
      <c r="O208" s="14" t="b">
        <f>IF(data[[#This Row],[Date]]&gt;MAX(data[Date])-750, TRUE, FALSE)</f>
        <v>0</v>
      </c>
      <c r="P208" s="3">
        <f t="shared" si="17"/>
        <v>0.38500000000000001</v>
      </c>
      <c r="Q208" s="3">
        <v>0.105</v>
      </c>
      <c r="R208">
        <v>2.988</v>
      </c>
      <c r="T208" s="50">
        <v>14.387</v>
      </c>
      <c r="U208">
        <v>0.61</v>
      </c>
      <c r="V208" s="50">
        <v>13.467000000000001</v>
      </c>
      <c r="W208" s="50">
        <v>13.615</v>
      </c>
      <c r="X208">
        <v>0.35499999999999998</v>
      </c>
      <c r="Y208" s="50">
        <f t="shared" si="13"/>
        <v>0.14799999999999969</v>
      </c>
      <c r="Z208">
        <f t="shared" si="15"/>
        <v>5.0000000000000044E-3</v>
      </c>
    </row>
    <row r="209" spans="1:26">
      <c r="A209" s="4">
        <v>43205</v>
      </c>
      <c r="B209">
        <f>YEAR(data[[#This Row],[Date]])</f>
        <v>2018</v>
      </c>
      <c r="C209" s="6">
        <f t="shared" si="14"/>
        <v>0.45</v>
      </c>
      <c r="D209" s="7">
        <f t="shared" si="10"/>
        <v>0.14000000000000001</v>
      </c>
      <c r="E209" s="7">
        <f t="shared" si="11"/>
        <v>0</v>
      </c>
      <c r="F209" s="20">
        <v>0.14380000000000001</v>
      </c>
      <c r="G209" s="16">
        <f>AVERAGE(0.16,0.155)</f>
        <v>0.1575</v>
      </c>
      <c r="H209" s="7">
        <f t="shared" si="16"/>
        <v>0</v>
      </c>
      <c r="I209" s="7">
        <v>0.23</v>
      </c>
      <c r="J209" s="7">
        <v>0</v>
      </c>
      <c r="K209" s="7">
        <v>0.19</v>
      </c>
      <c r="L20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0.10304285714285714</v>
      </c>
      <c r="M20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6.182905503265354E-2</v>
      </c>
      <c r="N209" s="14">
        <f>IF(data[[#This Row],[Weighted_Avg]]&lt;&gt;"", IFERROR(AVERAGE(M197,M185,M173), ""), "")</f>
        <v>3.3792795384374817E-2</v>
      </c>
      <c r="O209" s="14" t="b">
        <f>IF(data[[#This Row],[Date]]&gt;MAX(data[Date])-750, TRUE, FALSE)</f>
        <v>0</v>
      </c>
      <c r="P209" s="3">
        <f t="shared" si="17"/>
        <v>0.4</v>
      </c>
      <c r="Q209" s="3">
        <v>0.11</v>
      </c>
      <c r="R209">
        <v>3.0960000000000001</v>
      </c>
      <c r="T209" s="50">
        <v>14.877000000000001</v>
      </c>
      <c r="U209">
        <v>0.65</v>
      </c>
      <c r="V209" s="50">
        <v>13.616</v>
      </c>
      <c r="W209" s="50">
        <v>13.763999999999999</v>
      </c>
      <c r="X209">
        <v>0.36</v>
      </c>
      <c r="Y209" s="50">
        <f t="shared" si="13"/>
        <v>0.14799999999999969</v>
      </c>
      <c r="Z209">
        <f t="shared" si="15"/>
        <v>5.0000000000000044E-3</v>
      </c>
    </row>
    <row r="210" spans="1:26">
      <c r="A210" s="4">
        <v>43235</v>
      </c>
      <c r="B210">
        <f>YEAR(data[[#This Row],[Date]])</f>
        <v>2018</v>
      </c>
      <c r="C210" s="6">
        <f t="shared" si="14"/>
        <v>0.44</v>
      </c>
      <c r="D210" s="7">
        <f t="shared" si="10"/>
        <v>0.13</v>
      </c>
      <c r="E210" s="7">
        <f t="shared" si="11"/>
        <v>0</v>
      </c>
      <c r="F210" s="20">
        <v>0.1323</v>
      </c>
      <c r="G210" s="16">
        <f>AVERAGE(0.17,0.185)</f>
        <v>0.17749999999999999</v>
      </c>
      <c r="H210" s="7">
        <f t="shared" si="16"/>
        <v>0</v>
      </c>
      <c r="I210" s="7">
        <v>0.22</v>
      </c>
      <c r="J210" s="7">
        <v>0</v>
      </c>
      <c r="K210" s="7">
        <v>0.18</v>
      </c>
      <c r="L21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0.1014</v>
      </c>
      <c r="M21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6.0595348714089614E-2</v>
      </c>
      <c r="N210" s="14">
        <f>IF(data[[#This Row],[Weighted_Avg]]&lt;&gt;"", IFERROR(AVERAGE(M198,M186,M174), ""), "")</f>
        <v>3.2947390562407509E-2</v>
      </c>
      <c r="O210" s="14" t="b">
        <f>IF(data[[#This Row],[Date]]&gt;MAX(data[Date])-750, TRUE, FALSE)</f>
        <v>0</v>
      </c>
      <c r="P210" s="3">
        <f t="shared" si="17"/>
        <v>0.40500000000000003</v>
      </c>
      <c r="Q210" s="3">
        <v>0.11</v>
      </c>
      <c r="R210">
        <v>3.2440000000000002</v>
      </c>
      <c r="T210" s="50">
        <v>15.058999999999999</v>
      </c>
      <c r="U210">
        <v>0.65</v>
      </c>
      <c r="V210" s="50">
        <v>13.765000000000001</v>
      </c>
      <c r="W210" s="50">
        <v>13.913</v>
      </c>
      <c r="X210">
        <v>0.36499999999999999</v>
      </c>
      <c r="Y210" s="50">
        <f t="shared" si="13"/>
        <v>0.14799999999999969</v>
      </c>
      <c r="Z210">
        <f t="shared" si="15"/>
        <v>5.0000000000000044E-3</v>
      </c>
    </row>
    <row r="211" spans="1:26">
      <c r="A211" s="4">
        <v>43266</v>
      </c>
      <c r="B211">
        <f>YEAR(data[[#This Row],[Date]])</f>
        <v>2018</v>
      </c>
      <c r="C211" s="6">
        <f t="shared" si="14"/>
        <v>0.47</v>
      </c>
      <c r="D211" s="7">
        <f t="shared" si="10"/>
        <v>0.15</v>
      </c>
      <c r="E211" s="7">
        <f t="shared" si="11"/>
        <v>0</v>
      </c>
      <c r="F211" s="20">
        <v>0.15529999999999999</v>
      </c>
      <c r="G211" s="16">
        <f>AVERAGE(0.195,0.21)</f>
        <v>0.20250000000000001</v>
      </c>
      <c r="H211" s="7">
        <f t="shared" si="16"/>
        <v>0</v>
      </c>
      <c r="I211" s="7">
        <v>0.24</v>
      </c>
      <c r="J211" s="7">
        <v>0</v>
      </c>
      <c r="K211" s="7">
        <v>0.2</v>
      </c>
      <c r="L21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0.11397142857142858</v>
      </c>
      <c r="M21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6.7979934428213262E-2</v>
      </c>
      <c r="N211" s="14">
        <f>IF(data[[#This Row],[Weighted_Avg]]&lt;&gt;"", IFERROR(AVERAGE(M199,M187,M175), ""), "")</f>
        <v>3.2400934252609002E-2</v>
      </c>
      <c r="O211" s="14" t="b">
        <f>IF(data[[#This Row],[Date]]&gt;MAX(data[Date])-750, TRUE, FALSE)</f>
        <v>0</v>
      </c>
      <c r="P211" s="3">
        <f t="shared" si="17"/>
        <v>0.41</v>
      </c>
      <c r="Q211" s="3">
        <v>0.115</v>
      </c>
      <c r="R211">
        <v>3.2530000000000001</v>
      </c>
      <c r="T211" s="50">
        <v>15.113</v>
      </c>
      <c r="U211">
        <v>0.67</v>
      </c>
      <c r="V211" s="50">
        <v>13.914</v>
      </c>
      <c r="W211" s="50">
        <v>14.061999999999999</v>
      </c>
      <c r="X211">
        <v>0.37</v>
      </c>
      <c r="Y211" s="50">
        <f t="shared" si="13"/>
        <v>0.14799999999999969</v>
      </c>
      <c r="Z211">
        <f t="shared" si="15"/>
        <v>5.0000000000000044E-3</v>
      </c>
    </row>
    <row r="212" spans="1:26">
      <c r="A212" s="4">
        <v>43296</v>
      </c>
      <c r="B212">
        <f>YEAR(data[[#This Row],[Date]])</f>
        <v>2018</v>
      </c>
      <c r="C212" s="6">
        <f t="shared" si="14"/>
        <v>0.5</v>
      </c>
      <c r="D212" s="7">
        <f t="shared" si="10"/>
        <v>0.19</v>
      </c>
      <c r="E212" s="7">
        <f t="shared" si="11"/>
        <v>0</v>
      </c>
      <c r="F212" s="20">
        <v>0.184</v>
      </c>
      <c r="G212" s="16">
        <f>AVERAGE(0.21,0.22)</f>
        <v>0.215</v>
      </c>
      <c r="H212" s="7">
        <f t="shared" si="16"/>
        <v>0</v>
      </c>
      <c r="I212" s="7">
        <v>0.28000000000000003</v>
      </c>
      <c r="J212" s="7">
        <v>0</v>
      </c>
      <c r="K212" s="7">
        <v>0.23</v>
      </c>
      <c r="L21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0.12985714285714287</v>
      </c>
      <c r="M21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7.7147899547350463E-2</v>
      </c>
      <c r="N212" s="14">
        <f>IF(data[[#This Row],[Weighted_Avg]]&lt;&gt;"", IFERROR(AVERAGE(M200,M188,M176), ""), "")</f>
        <v>3.9264082500347144E-2</v>
      </c>
      <c r="O212" s="36" t="b">
        <f>IF(data[[#This Row],[Date]]&gt;MAX(data[Date])-750, TRUE, FALSE)</f>
        <v>0</v>
      </c>
      <c r="P212" s="3">
        <f t="shared" si="17"/>
        <v>0.41</v>
      </c>
      <c r="Q212" s="37">
        <v>0.115</v>
      </c>
      <c r="R212">
        <v>3.2330000000000001</v>
      </c>
      <c r="T212" s="50">
        <v>15.246</v>
      </c>
      <c r="U212">
        <v>0.63</v>
      </c>
      <c r="V212" s="50">
        <v>14.063000000000001</v>
      </c>
      <c r="W212" s="50">
        <v>14.211</v>
      </c>
      <c r="X212">
        <v>0.375</v>
      </c>
      <c r="Y212" s="50">
        <f t="shared" si="13"/>
        <v>0.14799999999999969</v>
      </c>
      <c r="Z212">
        <f t="shared" si="15"/>
        <v>5.0000000000000044E-3</v>
      </c>
    </row>
    <row r="213" spans="1:26">
      <c r="A213" s="4">
        <v>43327</v>
      </c>
      <c r="B213">
        <f>YEAR(data[[#This Row],[Date]])</f>
        <v>2018</v>
      </c>
      <c r="C213" s="6">
        <f t="shared" si="14"/>
        <v>0.51</v>
      </c>
      <c r="D213" s="7">
        <f t="shared" si="10"/>
        <v>0.19</v>
      </c>
      <c r="E213" s="7">
        <f t="shared" si="11"/>
        <v>0.01</v>
      </c>
      <c r="F213" s="20">
        <v>0.184</v>
      </c>
      <c r="G213" s="16">
        <f>AVERAGE(0.21,0.205)</f>
        <v>0.20749999999999999</v>
      </c>
      <c r="H213" s="7">
        <f t="shared" si="16"/>
        <v>0</v>
      </c>
      <c r="I213" s="7">
        <v>0.28000000000000003</v>
      </c>
      <c r="J213" s="7">
        <v>0</v>
      </c>
      <c r="K213" s="7">
        <v>0.24</v>
      </c>
      <c r="L21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0.1302142857142857</v>
      </c>
      <c r="M21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7.860526465060523E-2</v>
      </c>
      <c r="N213" s="14">
        <f>IF(data[[#This Row],[Weighted_Avg]]&lt;&gt;"", IFERROR(AVERAGE(M201,M189,M177), ""), "")</f>
        <v>3.9788055837508045E-2</v>
      </c>
      <c r="O213" s="14" t="b">
        <f>IF(data[[#This Row],[Date]]&gt;MAX(data[Date])-750, TRUE, FALSE)</f>
        <v>0</v>
      </c>
      <c r="P213" s="3">
        <f t="shared" si="17"/>
        <v>0.41999999999999987</v>
      </c>
      <c r="Q213" s="3">
        <v>0.12</v>
      </c>
      <c r="R213">
        <v>3.218</v>
      </c>
      <c r="T213" s="50">
        <v>15.458</v>
      </c>
      <c r="U213">
        <v>0.62</v>
      </c>
      <c r="V213" s="50">
        <v>14.212</v>
      </c>
      <c r="W213" s="50">
        <v>14.36</v>
      </c>
      <c r="X213">
        <v>0.38</v>
      </c>
      <c r="Y213" s="50">
        <f t="shared" si="13"/>
        <v>0.14799999999999969</v>
      </c>
      <c r="Z213">
        <f t="shared" si="15"/>
        <v>5.0000000000000044E-3</v>
      </c>
    </row>
    <row r="214" spans="1:26">
      <c r="A214" s="4">
        <v>43358</v>
      </c>
      <c r="B214">
        <f>YEAR(data[[#This Row],[Date]])</f>
        <v>2018</v>
      </c>
      <c r="C214" s="6">
        <f t="shared" si="14"/>
        <v>0.5</v>
      </c>
      <c r="D214" s="7">
        <f t="shared" si="10"/>
        <v>0.19</v>
      </c>
      <c r="E214" s="7">
        <f t="shared" si="11"/>
        <v>0</v>
      </c>
      <c r="F214" s="20">
        <v>0.184</v>
      </c>
      <c r="G214" s="16">
        <f>AVERAGE(0.205, 0.205)</f>
        <v>0.20499999999999999</v>
      </c>
      <c r="H214" s="7">
        <f t="shared" si="16"/>
        <v>0</v>
      </c>
      <c r="I214" s="7">
        <v>0.28000000000000003</v>
      </c>
      <c r="J214" s="7">
        <v>0</v>
      </c>
      <c r="K214" s="7">
        <v>0.23</v>
      </c>
      <c r="L21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0.12842857142857142</v>
      </c>
      <c r="M21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7.6391411381658808E-2</v>
      </c>
      <c r="N214" s="14">
        <f>IF(data[[#This Row],[Weighted_Avg]]&lt;&gt;"", IFERROR(AVERAGE(M202,M190,M178), ""), "")</f>
        <v>3.4038803726572968E-2</v>
      </c>
      <c r="O214" s="14" t="b">
        <f>IF(data[[#This Row],[Date]]&gt;MAX(data[Date])-750, TRUE, FALSE)</f>
        <v>0</v>
      </c>
      <c r="P214" s="3">
        <f t="shared" si="17"/>
        <v>0.42999999999999977</v>
      </c>
      <c r="Q214" s="3">
        <v>0.13500000000000001</v>
      </c>
      <c r="R214">
        <v>3.262</v>
      </c>
      <c r="T214" s="50">
        <v>15.808999999999999</v>
      </c>
      <c r="U214">
        <v>0.68</v>
      </c>
      <c r="V214" s="50">
        <v>14.361000000000001</v>
      </c>
      <c r="W214" s="50">
        <v>14.509</v>
      </c>
      <c r="X214">
        <v>0.38500000000000001</v>
      </c>
      <c r="Y214" s="50">
        <f t="shared" si="13"/>
        <v>0.14799999999999969</v>
      </c>
      <c r="Z214">
        <f t="shared" si="15"/>
        <v>5.0000000000000044E-3</v>
      </c>
    </row>
    <row r="215" spans="1:26">
      <c r="A215" s="4">
        <v>43388</v>
      </c>
      <c r="B215">
        <f>YEAR(data[[#This Row],[Date]])</f>
        <v>2018</v>
      </c>
      <c r="C215" s="6">
        <f t="shared" si="14"/>
        <v>0.5</v>
      </c>
      <c r="D215" s="7">
        <f t="shared" si="10"/>
        <v>0.18</v>
      </c>
      <c r="E215" s="7">
        <f t="shared" si="11"/>
        <v>0</v>
      </c>
      <c r="F215" s="20">
        <v>0.17829999999999999</v>
      </c>
      <c r="G215" s="16">
        <f>AVERAGE(0.21,0.215)</f>
        <v>0.21249999999999999</v>
      </c>
      <c r="H215" s="7">
        <f t="shared" si="16"/>
        <v>0</v>
      </c>
      <c r="I215" s="7">
        <v>0.27</v>
      </c>
      <c r="J215" s="7">
        <v>0</v>
      </c>
      <c r="K215" s="7">
        <v>0.24</v>
      </c>
      <c r="L21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0.12868571428571429</v>
      </c>
      <c r="M21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7.8509530598276367E-2</v>
      </c>
      <c r="N215" s="14">
        <f>IF(data[[#This Row],[Weighted_Avg]]&lt;&gt;"", IFERROR(AVERAGE(M203,M191,M179), ""), "")</f>
        <v>3.0781009817128155E-2</v>
      </c>
      <c r="O215" s="14" t="b">
        <f>IF(data[[#This Row],[Date]]&gt;MAX(data[Date])-750, TRUE, FALSE)</f>
        <v>0</v>
      </c>
      <c r="P215" s="3">
        <f t="shared" si="17"/>
        <v>0.44499999999999962</v>
      </c>
      <c r="Q215" s="3">
        <v>0.14000000000000001</v>
      </c>
      <c r="R215">
        <v>3.3650000000000002</v>
      </c>
      <c r="T215" s="50">
        <v>16.25</v>
      </c>
      <c r="U215">
        <v>0.71</v>
      </c>
      <c r="V215" s="50">
        <v>14.51</v>
      </c>
      <c r="W215" s="50">
        <v>14.657999999999999</v>
      </c>
      <c r="X215">
        <v>0.39</v>
      </c>
      <c r="Y215" s="50">
        <f t="shared" si="13"/>
        <v>0.14799999999999969</v>
      </c>
      <c r="Z215">
        <f t="shared" si="15"/>
        <v>5.0000000000000044E-3</v>
      </c>
    </row>
    <row r="216" spans="1:26">
      <c r="A216" s="4">
        <v>43419</v>
      </c>
      <c r="B216">
        <f>YEAR(data[[#This Row],[Date]])</f>
        <v>2018</v>
      </c>
      <c r="C216" s="6">
        <f t="shared" si="14"/>
        <v>0.51</v>
      </c>
      <c r="D216" s="7">
        <f t="shared" si="10"/>
        <v>0.2</v>
      </c>
      <c r="E216" s="7">
        <f t="shared" si="11"/>
        <v>0.01</v>
      </c>
      <c r="F216" s="20">
        <v>0.1898</v>
      </c>
      <c r="G216" s="16">
        <f>AVERAGE(0.23,0.24)</f>
        <v>0.23499999999999999</v>
      </c>
      <c r="H216" s="7">
        <f t="shared" si="16"/>
        <v>0</v>
      </c>
      <c r="I216" s="7">
        <v>0.28999999999999998</v>
      </c>
      <c r="J216" s="7">
        <v>0</v>
      </c>
      <c r="K216" s="7">
        <v>0.24</v>
      </c>
      <c r="L21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0.13639999999999999</v>
      </c>
      <c r="M21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8.1163860642936278E-2</v>
      </c>
      <c r="N216" s="14">
        <f>IF(data[[#This Row],[Weighted_Avg]]&lt;&gt;"", IFERROR(AVERAGE(M204,M192,M180), ""), "")</f>
        <v>3.4239455344461163E-2</v>
      </c>
      <c r="O216" s="14" t="b">
        <f>IF(data[[#This Row],[Date]]&gt;MAX(data[Date])-750, TRUE, FALSE)</f>
        <v>0</v>
      </c>
      <c r="P216" s="3">
        <f t="shared" si="17"/>
        <v>0.45499999999999952</v>
      </c>
      <c r="Q216" s="3">
        <v>0.14499999999999999</v>
      </c>
      <c r="R216">
        <v>3.3</v>
      </c>
      <c r="T216" s="50">
        <v>16.495999999999999</v>
      </c>
      <c r="U216">
        <v>0.72</v>
      </c>
      <c r="V216" s="50">
        <v>14.659000000000001</v>
      </c>
      <c r="W216" s="50">
        <v>14.807</v>
      </c>
      <c r="X216">
        <v>0.39500000000000002</v>
      </c>
      <c r="Y216" s="50">
        <f t="shared" si="13"/>
        <v>0.14799999999999969</v>
      </c>
      <c r="Z216">
        <f t="shared" si="15"/>
        <v>5.0000000000000044E-3</v>
      </c>
    </row>
    <row r="217" spans="1:26">
      <c r="A217" s="4">
        <v>43449</v>
      </c>
      <c r="B217">
        <f>YEAR(data[[#This Row],[Date]])</f>
        <v>2018</v>
      </c>
      <c r="C217" s="6">
        <f t="shared" si="14"/>
        <v>0.53</v>
      </c>
      <c r="D217" s="7">
        <f t="shared" si="10"/>
        <v>0.22</v>
      </c>
      <c r="E217" s="7">
        <f t="shared" si="11"/>
        <v>0.03</v>
      </c>
      <c r="F217" s="20">
        <v>0.20699999999999999</v>
      </c>
      <c r="G217" s="16">
        <f>AVERAGE(0.23, 0.22)</f>
        <v>0.22500000000000001</v>
      </c>
      <c r="H217" s="7">
        <f t="shared" si="16"/>
        <v>0</v>
      </c>
      <c r="I217" s="7">
        <v>0.31</v>
      </c>
      <c r="J217" s="7">
        <v>0</v>
      </c>
      <c r="K217" s="7">
        <v>0.26</v>
      </c>
      <c r="L21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0.14314285714285716</v>
      </c>
      <c r="M21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8.5652764489890065E-2</v>
      </c>
      <c r="N217" s="14">
        <f>IF(data[[#This Row],[Weighted_Avg]]&lt;&gt;"", IFERROR(AVERAGE(M205,M193,M181), ""), "")</f>
        <v>3.6714491288492669E-2</v>
      </c>
      <c r="O217" s="14" t="b">
        <f>IF(data[[#This Row],[Date]]&gt;MAX(data[Date])-750, TRUE, FALSE)</f>
        <v>0</v>
      </c>
      <c r="P217" s="3">
        <f t="shared" si="17"/>
        <v>0.46499999999999941</v>
      </c>
      <c r="Q217" s="3">
        <v>0.15</v>
      </c>
      <c r="R217">
        <v>3.1230000000000002</v>
      </c>
      <c r="T217" s="50">
        <v>16.794</v>
      </c>
      <c r="U217">
        <v>0.74</v>
      </c>
      <c r="V217" s="50">
        <v>14.808</v>
      </c>
      <c r="W217" s="50">
        <v>14.956</v>
      </c>
      <c r="X217">
        <v>0.4</v>
      </c>
      <c r="Y217" s="50">
        <f t="shared" si="13"/>
        <v>0.14799999999999969</v>
      </c>
      <c r="Z217">
        <f t="shared" si="15"/>
        <v>5.0000000000000044E-3</v>
      </c>
    </row>
    <row r="218" spans="1:26">
      <c r="A218" s="4">
        <v>43480</v>
      </c>
      <c r="B218">
        <f>YEAR(data[[#This Row],[Date]])</f>
        <v>2019</v>
      </c>
      <c r="C218" s="6">
        <f t="shared" si="14"/>
        <v>0.52</v>
      </c>
      <c r="D218" s="7">
        <f t="shared" si="10"/>
        <v>0.21</v>
      </c>
      <c r="E218" s="7">
        <f t="shared" si="11"/>
        <v>0.02</v>
      </c>
      <c r="F218" s="20">
        <v>0.19550000000000001</v>
      </c>
      <c r="G218" s="16">
        <f>AVERAGE(0.195,0.18)</f>
        <v>0.1875</v>
      </c>
      <c r="H218" s="7">
        <f t="shared" si="16"/>
        <v>0</v>
      </c>
      <c r="I218" s="7">
        <v>0.3</v>
      </c>
      <c r="J218" s="7">
        <v>0</v>
      </c>
      <c r="K218" s="7">
        <v>0.25</v>
      </c>
      <c r="L21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0.13328571428571429</v>
      </c>
      <c r="M21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8.4064640368242322E-2</v>
      </c>
      <c r="N218" s="14">
        <f>IF(data[[#This Row],[Weighted_Avg]]&lt;&gt;"", IFERROR(AVERAGE(M206,M194,M182), ""), "")</f>
        <v>3.4259920846763742E-2</v>
      </c>
      <c r="O218" s="14" t="b">
        <f>IF(data[[#This Row],[Date]]&gt;MAX(data[Date])-750, TRUE, FALSE)</f>
        <v>0</v>
      </c>
      <c r="P218" s="3">
        <f t="shared" si="17"/>
        <v>0.46999999999999936</v>
      </c>
      <c r="Q218" s="3">
        <v>0.14000000000000001</v>
      </c>
      <c r="R218">
        <v>2.98</v>
      </c>
      <c r="T218" s="50">
        <v>16.904</v>
      </c>
      <c r="U218">
        <v>0.7</v>
      </c>
      <c r="V218" s="50">
        <v>14.957000000000001</v>
      </c>
      <c r="W218" s="50">
        <v>15.105</v>
      </c>
      <c r="X218">
        <v>0.40500000000000003</v>
      </c>
      <c r="Y218" s="50">
        <f t="shared" si="13"/>
        <v>0.14799999999999969</v>
      </c>
      <c r="Z218">
        <f t="shared" si="15"/>
        <v>5.0000000000000044E-3</v>
      </c>
    </row>
    <row r="219" spans="1:26">
      <c r="A219" s="4">
        <v>43511</v>
      </c>
      <c r="B219">
        <f>YEAR(data[[#This Row],[Date]])</f>
        <v>2019</v>
      </c>
      <c r="C219" s="6">
        <f t="shared" si="14"/>
        <v>0.47</v>
      </c>
      <c r="D219" s="7">
        <f t="shared" si="10"/>
        <v>0.16</v>
      </c>
      <c r="E219" s="7">
        <f t="shared" si="11"/>
        <v>0</v>
      </c>
      <c r="F219" s="16">
        <v>0.161</v>
      </c>
      <c r="G219" s="16">
        <f>AVERAGE(0.165,0.155)</f>
        <v>0.16</v>
      </c>
      <c r="H219" s="7">
        <f t="shared" si="16"/>
        <v>0</v>
      </c>
      <c r="I219">
        <v>0.25</v>
      </c>
      <c r="J219" s="7">
        <v>0</v>
      </c>
      <c r="K219">
        <v>0.21</v>
      </c>
      <c r="L21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0.11157142857142856</v>
      </c>
      <c r="M21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7.0574740476075523E-2</v>
      </c>
      <c r="N219" s="14">
        <f>IF(data[[#This Row],[Weighted_Avg]]&lt;&gt;"", IFERROR(AVERAGE(M207,M195,M183), ""), "")</f>
        <v>3.2569162504328668E-2</v>
      </c>
      <c r="O219" s="14" t="b">
        <f>IF(data[[#This Row],[Date]]&gt;MAX(data[Date])-750, TRUE, FALSE)</f>
        <v>0</v>
      </c>
      <c r="P219" s="3">
        <f t="shared" ref="P219:P228" si="18">AVERAGEIFS(X:X,V:V,  "&lt;="&amp;T219,W:W, "&gt;="&amp;T219)</f>
        <v>0.45499999999999952</v>
      </c>
      <c r="Q219" s="3">
        <v>0.14000000000000001</v>
      </c>
      <c r="R219">
        <v>2.9969999999999999</v>
      </c>
      <c r="T219" s="50">
        <v>16.574000000000002</v>
      </c>
      <c r="U219">
        <v>0.68</v>
      </c>
      <c r="V219" s="50">
        <v>15.106</v>
      </c>
      <c r="W219" s="50">
        <v>15.254</v>
      </c>
      <c r="X219">
        <v>0.41</v>
      </c>
      <c r="Y219" s="50">
        <f t="shared" si="13"/>
        <v>0.14799999999999969</v>
      </c>
      <c r="Z219">
        <f t="shared" si="15"/>
        <v>4.9999999999999489E-3</v>
      </c>
    </row>
    <row r="220" spans="1:26">
      <c r="A220" s="4">
        <v>43539</v>
      </c>
      <c r="B220">
        <f>YEAR(data[[#This Row],[Date]])</f>
        <v>2019</v>
      </c>
      <c r="C220" s="6">
        <f t="shared" si="14"/>
        <v>0.44</v>
      </c>
      <c r="D220" s="7">
        <f t="shared" si="10"/>
        <v>0.13</v>
      </c>
      <c r="E220" s="7">
        <f t="shared" si="11"/>
        <v>0</v>
      </c>
      <c r="F220" s="20">
        <v>0.1323</v>
      </c>
      <c r="G220" s="16">
        <f>AVERAGE(0.15,0.155)</f>
        <v>0.1525</v>
      </c>
      <c r="H220" s="7">
        <f t="shared" si="16"/>
        <v>0</v>
      </c>
      <c r="I220" s="7">
        <v>0.22</v>
      </c>
      <c r="J220" s="7">
        <v>0</v>
      </c>
      <c r="K220" s="7">
        <v>0.18</v>
      </c>
      <c r="L22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9.7828571428571445E-2</v>
      </c>
      <c r="M22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6.1471798078315876E-2</v>
      </c>
      <c r="N220" s="14">
        <f>IF(data[[#This Row],[Weighted_Avg]]&lt;&gt;"", IFERROR(AVERAGE(M208,M196,M184), ""), "")</f>
        <v>3.1726914046389713E-2</v>
      </c>
      <c r="O220" s="14" t="b">
        <f>IF(data[[#This Row],[Date]]&gt;MAX(data[Date])-750, TRUE, FALSE)</f>
        <v>0</v>
      </c>
      <c r="P220" s="3">
        <f t="shared" si="18"/>
        <v>0.45999999999999946</v>
      </c>
      <c r="Q220" s="3">
        <v>0.16500000000000001</v>
      </c>
      <c r="R220">
        <v>3.0760000000000001</v>
      </c>
      <c r="T220" s="50">
        <v>16.654</v>
      </c>
      <c r="U220">
        <v>0.72</v>
      </c>
      <c r="V220" s="50">
        <f>W219+0.001</f>
        <v>15.254999999999999</v>
      </c>
      <c r="W220" s="50">
        <f>V220+Y219</f>
        <v>15.402999999999999</v>
      </c>
      <c r="X220">
        <f>X219+Z219</f>
        <v>0.41499999999999992</v>
      </c>
      <c r="Y220" s="50">
        <f t="shared" ref="Y220" si="19">W220-V220</f>
        <v>0.14799999999999969</v>
      </c>
      <c r="Z220">
        <f t="shared" ref="Z220" si="20">X220-X219</f>
        <v>4.9999999999999489E-3</v>
      </c>
    </row>
    <row r="221" spans="1:26">
      <c r="A221" s="4">
        <v>43570</v>
      </c>
      <c r="B221">
        <f>YEAR(data[[#This Row],[Date]])</f>
        <v>2019</v>
      </c>
      <c r="C221" s="6">
        <f t="shared" si="14"/>
        <v>0.44</v>
      </c>
      <c r="D221" s="7">
        <f t="shared" si="10"/>
        <v>0.13</v>
      </c>
      <c r="E221" s="7">
        <f t="shared" si="11"/>
        <v>0</v>
      </c>
      <c r="F221" s="20">
        <v>0.13800000000000001</v>
      </c>
      <c r="G221" s="16">
        <f>AVERAGE(0.175,0.175)</f>
        <v>0.17499999999999999</v>
      </c>
      <c r="H221" s="7">
        <f t="shared" si="16"/>
        <v>0</v>
      </c>
      <c r="I221" s="7">
        <v>0.22</v>
      </c>
      <c r="J221" s="7">
        <v>0</v>
      </c>
      <c r="K221" s="7">
        <v>0.18</v>
      </c>
      <c r="L22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0.10185714285714287</v>
      </c>
      <c r="M22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6.3335514943749699E-2</v>
      </c>
      <c r="N221" s="14">
        <f>IF(data[[#This Row],[Weighted_Avg]]&lt;&gt;"", IFERROR(AVERAGE(M209,M197,M185), ""), "")</f>
        <v>3.1354871030661917E-2</v>
      </c>
      <c r="O221" s="14" t="b">
        <f>IF(data[[#This Row],[Date]]&gt;MAX(data[Date])-750, TRUE, FALSE)</f>
        <v>0</v>
      </c>
      <c r="P221" s="3">
        <f t="shared" si="18"/>
        <v>0.48499999999999921</v>
      </c>
      <c r="Q221" s="3">
        <v>0.155</v>
      </c>
      <c r="R221">
        <v>3.121</v>
      </c>
      <c r="T221" s="50">
        <v>17.47</v>
      </c>
      <c r="U221">
        <v>0.76</v>
      </c>
      <c r="V221" s="50">
        <f>W220+0.001</f>
        <v>15.403999999999998</v>
      </c>
      <c r="W221" s="50">
        <f>V221+Y220</f>
        <v>15.551999999999998</v>
      </c>
      <c r="X221">
        <f>X220+Z220</f>
        <v>0.41999999999999987</v>
      </c>
      <c r="Y221" s="50">
        <f t="shared" ref="Y221:Y222" si="21">W221-V221</f>
        <v>0.14799999999999969</v>
      </c>
      <c r="Z221">
        <f t="shared" ref="Z221:Z222" si="22">X221-X220</f>
        <v>4.9999999999999489E-3</v>
      </c>
    </row>
    <row r="222" spans="1:26">
      <c r="A222" s="4">
        <v>43600</v>
      </c>
      <c r="B222">
        <f>YEAR(data[[#This Row],[Date]])</f>
        <v>2019</v>
      </c>
      <c r="C222" s="6">
        <f t="shared" si="14"/>
        <v>0.46</v>
      </c>
      <c r="D222" s="7">
        <f t="shared" si="10"/>
        <v>0.15</v>
      </c>
      <c r="E222" s="7">
        <f t="shared" si="11"/>
        <v>0</v>
      </c>
      <c r="F222" s="20">
        <v>0.14949999999999999</v>
      </c>
      <c r="G222" s="16">
        <f>AVERAGE(0.175,0.185)</f>
        <v>0.18</v>
      </c>
      <c r="H222" s="7">
        <f t="shared" si="16"/>
        <v>0</v>
      </c>
      <c r="I222" s="7">
        <v>0.24</v>
      </c>
      <c r="J222" s="7">
        <v>0</v>
      </c>
      <c r="K222" s="7">
        <v>0.2</v>
      </c>
      <c r="L22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0.10992857142857144</v>
      </c>
      <c r="M22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6.9034491735470688E-2</v>
      </c>
      <c r="N222" s="14">
        <f>IF(data[[#This Row],[Weighted_Avg]]&lt;&gt;"", IFERROR(AVERAGE(M210,M198,M186), ""), "")</f>
        <v>3.1012448290525647E-2</v>
      </c>
      <c r="O222" s="14" t="b">
        <f>IF(data[[#This Row],[Date]]&gt;MAX(data[Date])-750, TRUE, FALSE)</f>
        <v>0</v>
      </c>
      <c r="P222" s="3">
        <f t="shared" si="18"/>
        <v>0.46499999999999941</v>
      </c>
      <c r="Q222" s="3">
        <v>0.15</v>
      </c>
      <c r="R222">
        <v>3.161</v>
      </c>
      <c r="T222" s="50">
        <v>16.802</v>
      </c>
      <c r="U222">
        <v>0.73</v>
      </c>
      <c r="V222" s="50">
        <f>W221+0.001</f>
        <v>15.552999999999997</v>
      </c>
      <c r="W222" s="50">
        <f>V222+Y221</f>
        <v>15.700999999999997</v>
      </c>
      <c r="X222">
        <f>X221+Z221</f>
        <v>0.42499999999999982</v>
      </c>
      <c r="Y222" s="50">
        <f t="shared" si="21"/>
        <v>0.14799999999999969</v>
      </c>
      <c r="Z222">
        <f t="shared" si="22"/>
        <v>4.9999999999999489E-3</v>
      </c>
    </row>
    <row r="223" spans="1:26">
      <c r="A223" s="4">
        <v>43631</v>
      </c>
      <c r="B223">
        <f>YEAR(data[[#This Row],[Date]])</f>
        <v>2019</v>
      </c>
      <c r="C223" s="6">
        <f t="shared" si="14"/>
        <v>0.47</v>
      </c>
      <c r="D223" s="7">
        <f t="shared" si="10"/>
        <v>0.16</v>
      </c>
      <c r="E223" s="7">
        <f t="shared" si="11"/>
        <v>0</v>
      </c>
      <c r="F223" s="20">
        <v>0.161</v>
      </c>
      <c r="G223" s="16">
        <f>AVERAGE(0.19, 0.195)</f>
        <v>0.1925</v>
      </c>
      <c r="H223" s="7">
        <f t="shared" si="16"/>
        <v>0</v>
      </c>
      <c r="I223" s="7">
        <v>0.25</v>
      </c>
      <c r="J223" s="7">
        <v>0</v>
      </c>
      <c r="K223" s="7">
        <v>0.21</v>
      </c>
      <c r="L22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0.11621428571428571</v>
      </c>
      <c r="M22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7.286806890058424E-2</v>
      </c>
      <c r="N223" s="14">
        <f>IF(data[[#This Row],[Weighted_Avg]]&lt;&gt;"", IFERROR(AVERAGE(M211,M199,M187), ""), "")</f>
        <v>3.4165728019214067E-2</v>
      </c>
      <c r="O223" s="14" t="b">
        <f>IF(data[[#This Row],[Date]]&gt;MAX(data[Date])-750, TRUE, FALSE)</f>
        <v>0</v>
      </c>
      <c r="P223" s="3">
        <f t="shared" si="18"/>
        <v>0.46999999999999936</v>
      </c>
      <c r="Q223" s="3">
        <v>0.22500000000000001</v>
      </c>
      <c r="R223">
        <v>3.089</v>
      </c>
      <c r="T223" s="50">
        <v>16.916</v>
      </c>
      <c r="U223">
        <v>0.97</v>
      </c>
      <c r="V223" s="50">
        <f t="shared" ref="V223:V226" si="23">W222+0.001</f>
        <v>15.701999999999996</v>
      </c>
      <c r="W223" s="50">
        <f t="shared" ref="W223:W226" si="24">V223+Y222</f>
        <v>15.849999999999996</v>
      </c>
      <c r="X223">
        <f t="shared" ref="X223:X226" si="25">X222+Z222</f>
        <v>0.42999999999999977</v>
      </c>
      <c r="Y223" s="50">
        <f t="shared" ref="Y223:Y227" si="26">W223-V223</f>
        <v>0.14799999999999969</v>
      </c>
      <c r="Z223">
        <f t="shared" ref="Z223:Z227" si="27">X223-X222</f>
        <v>4.9999999999999489E-3</v>
      </c>
    </row>
    <row r="224" spans="1:26">
      <c r="A224" s="4">
        <v>43661</v>
      </c>
      <c r="B224">
        <f>YEAR(data[[#This Row],[Date]])</f>
        <v>2019</v>
      </c>
      <c r="C224" s="6">
        <f t="shared" si="14"/>
        <v>0.48</v>
      </c>
      <c r="D224" s="7">
        <f t="shared" si="10"/>
        <v>0.17</v>
      </c>
      <c r="E224" s="7">
        <f t="shared" si="11"/>
        <v>0</v>
      </c>
      <c r="F224" s="20">
        <v>0.1668</v>
      </c>
      <c r="G224" s="16">
        <f>AVERAGE(0.185, 0.17)</f>
        <v>0.17749999999999999</v>
      </c>
      <c r="H224" s="7">
        <f t="shared" si="16"/>
        <v>0</v>
      </c>
      <c r="I224" s="7">
        <v>0.26</v>
      </c>
      <c r="J224" s="7">
        <v>0</v>
      </c>
      <c r="K224" s="7">
        <v>0.22</v>
      </c>
      <c r="L22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0.11775714285714287</v>
      </c>
      <c r="M22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7.4485109442647232E-2</v>
      </c>
      <c r="N224" s="14">
        <f>IF(data[[#This Row],[Weighted_Avg]]&lt;&gt;"", IFERROR(AVERAGE(M212,M200,M188), ""), "")</f>
        <v>4.1957262954826435E-2</v>
      </c>
      <c r="O224" s="36" t="b">
        <f>IF(data[[#This Row],[Date]]&gt;MAX(data[Date])-750, TRUE, FALSE)</f>
        <v>0</v>
      </c>
      <c r="P224" s="3">
        <f t="shared" si="18"/>
        <v>0.46499999999999941</v>
      </c>
      <c r="Q224" s="3">
        <v>0.22500000000000001</v>
      </c>
      <c r="R224">
        <v>3.0449999999999999</v>
      </c>
      <c r="T224">
        <v>16.850999999999999</v>
      </c>
      <c r="U224">
        <v>0.96</v>
      </c>
      <c r="V224" s="50">
        <f t="shared" si="23"/>
        <v>15.850999999999996</v>
      </c>
      <c r="W224" s="50">
        <f t="shared" si="24"/>
        <v>15.998999999999995</v>
      </c>
      <c r="X224">
        <f t="shared" si="25"/>
        <v>0.43499999999999972</v>
      </c>
      <c r="Y224" s="50">
        <f t="shared" si="26"/>
        <v>0.14799999999999969</v>
      </c>
      <c r="Z224">
        <f t="shared" si="27"/>
        <v>4.9999999999999489E-3</v>
      </c>
    </row>
    <row r="225" spans="1:26">
      <c r="A225" s="4">
        <v>43692</v>
      </c>
      <c r="B225">
        <f>YEAR(data[[#This Row],[Date]])</f>
        <v>2019</v>
      </c>
      <c r="C225" s="6">
        <f t="shared" si="14"/>
        <v>0.46</v>
      </c>
      <c r="D225" s="7">
        <f t="shared" si="10"/>
        <v>0.15</v>
      </c>
      <c r="E225" s="7">
        <f t="shared" si="11"/>
        <v>0</v>
      </c>
      <c r="F225" s="20">
        <v>0.15529999999999999</v>
      </c>
      <c r="G225" s="16">
        <v>0.17</v>
      </c>
      <c r="H225" s="7">
        <f t="shared" si="16"/>
        <v>0</v>
      </c>
      <c r="I225" s="7">
        <v>0.24</v>
      </c>
      <c r="J225" s="7">
        <v>0</v>
      </c>
      <c r="K225" s="7">
        <v>0.2</v>
      </c>
      <c r="L22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0.10932857142857144</v>
      </c>
      <c r="M22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6.8609722772117882E-2</v>
      </c>
      <c r="N225" s="14">
        <f>IF(data[[#This Row],[Weighted_Avg]]&lt;&gt;"", IFERROR(AVERAGE(M213,M201,M189), ""), "")</f>
        <v>4.3602306244066878E-2</v>
      </c>
      <c r="O225" s="14" t="b">
        <f>IF(data[[#This Row],[Date]]&gt;MAX(data[Date])-750, TRUE, FALSE)</f>
        <v>0</v>
      </c>
      <c r="P225" s="3">
        <f t="shared" si="18"/>
        <v>0.45999999999999946</v>
      </c>
      <c r="Q225" s="3">
        <v>0.22</v>
      </c>
      <c r="R225">
        <v>3.0049999999999999</v>
      </c>
      <c r="T225" s="50">
        <v>16.632000000000001</v>
      </c>
      <c r="U225">
        <v>0.94</v>
      </c>
      <c r="V225" s="50">
        <f t="shared" si="23"/>
        <v>15.999999999999995</v>
      </c>
      <c r="W225" s="50">
        <f t="shared" si="24"/>
        <v>16.147999999999996</v>
      </c>
      <c r="X225">
        <f t="shared" si="25"/>
        <v>0.43999999999999967</v>
      </c>
      <c r="Y225" s="50">
        <f t="shared" si="26"/>
        <v>0.14800000000000146</v>
      </c>
      <c r="Z225">
        <f t="shared" si="27"/>
        <v>4.9999999999999489E-3</v>
      </c>
    </row>
    <row r="226" spans="1:26">
      <c r="A226" s="4">
        <v>43723</v>
      </c>
      <c r="B226">
        <f>YEAR(data[[#This Row],[Date]])</f>
        <v>2019</v>
      </c>
      <c r="C226" s="6">
        <f t="shared" si="14"/>
        <v>0.45</v>
      </c>
      <c r="D226" s="7">
        <f t="shared" si="10"/>
        <v>0.14000000000000001</v>
      </c>
      <c r="E226" s="7">
        <f t="shared" si="11"/>
        <v>0</v>
      </c>
      <c r="F226" s="20">
        <v>0.14380000000000001</v>
      </c>
      <c r="G226" s="16">
        <f>AVERAGE(0.16,0.165)</f>
        <v>0.16250000000000001</v>
      </c>
      <c r="H226" s="7">
        <f t="shared" si="16"/>
        <v>0</v>
      </c>
      <c r="I226" s="7">
        <v>0.23</v>
      </c>
      <c r="J226" s="7">
        <v>0</v>
      </c>
      <c r="K226" s="7">
        <v>0.19</v>
      </c>
      <c r="L22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0.10375714285714285</v>
      </c>
      <c r="M22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6.5128965364621053E-2</v>
      </c>
      <c r="N226" s="14">
        <f>IF(data[[#This Row],[Weighted_Avg]]&lt;&gt;"", IFERROR(AVERAGE(M214,M202,M190), ""), "")</f>
        <v>4.1402662115369519E-2</v>
      </c>
      <c r="O226" s="14" t="b">
        <f>IF(data[[#This Row],[Date]]&gt;MAX(data[Date])-750, TRUE, FALSE)</f>
        <v>0</v>
      </c>
      <c r="P226" s="3">
        <f t="shared" si="18"/>
        <v>0.46499999999999941</v>
      </c>
      <c r="Q226" s="3">
        <v>0.22</v>
      </c>
      <c r="R226">
        <v>3.016</v>
      </c>
      <c r="T226" s="50">
        <v>16.852</v>
      </c>
      <c r="U226">
        <v>0.96</v>
      </c>
      <c r="V226" s="50">
        <f t="shared" si="23"/>
        <v>16.148999999999997</v>
      </c>
      <c r="W226" s="50">
        <f t="shared" si="24"/>
        <v>16.296999999999997</v>
      </c>
      <c r="X226">
        <f t="shared" si="25"/>
        <v>0.44499999999999962</v>
      </c>
      <c r="Y226" s="50">
        <f t="shared" si="26"/>
        <v>0.14799999999999969</v>
      </c>
      <c r="Z226">
        <f t="shared" si="27"/>
        <v>4.9999999999999489E-3</v>
      </c>
    </row>
    <row r="227" spans="1:26">
      <c r="A227" s="4">
        <v>43753</v>
      </c>
      <c r="B227">
        <f>YEAR(data[[#This Row],[Date]])</f>
        <v>2019</v>
      </c>
      <c r="C227" s="6">
        <f t="shared" si="14"/>
        <v>0.44</v>
      </c>
      <c r="D227" s="7">
        <f t="shared" si="10"/>
        <v>0.13</v>
      </c>
      <c r="E227" s="7">
        <f t="shared" si="11"/>
        <v>0</v>
      </c>
      <c r="F227" s="20">
        <v>0.13800000000000001</v>
      </c>
      <c r="G227" s="16">
        <f>AVERAGE(0.155,0.165)</f>
        <v>0.16</v>
      </c>
      <c r="H227" s="7">
        <f t="shared" si="16"/>
        <v>0</v>
      </c>
      <c r="I227" s="7">
        <v>0.22</v>
      </c>
      <c r="J227" s="7">
        <v>0</v>
      </c>
      <c r="K227" s="7">
        <v>0.19</v>
      </c>
      <c r="L22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0.10114285714285713</v>
      </c>
      <c r="M22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6.437150628490497E-2</v>
      </c>
      <c r="N227" s="14">
        <f>IF(data[[#This Row],[Weighted_Avg]]&lt;&gt;"", IFERROR(AVERAGE(M215,M203,M191), ""), "")</f>
        <v>4.4487980792863979E-2</v>
      </c>
      <c r="O227" s="14" t="b">
        <f>IF(data[[#This Row],[Date]]&gt;MAX(data[Date])-750, TRUE, FALSE)</f>
        <v>0</v>
      </c>
      <c r="P227" s="3">
        <f t="shared" si="18"/>
        <v>0.46999999999999936</v>
      </c>
      <c r="Q227" s="3">
        <v>0.22500000000000001</v>
      </c>
      <c r="R227">
        <v>3.0529999999999999</v>
      </c>
      <c r="T227" s="50">
        <v>16.902999999999999</v>
      </c>
      <c r="U227">
        <v>0.94</v>
      </c>
      <c r="V227" s="50">
        <f>W226+0.001</f>
        <v>16.297999999999998</v>
      </c>
      <c r="W227" s="50">
        <f>V227+Y226</f>
        <v>16.445999999999998</v>
      </c>
      <c r="X227">
        <f>X226+Z226</f>
        <v>0.44999999999999957</v>
      </c>
      <c r="Y227" s="50">
        <f t="shared" si="26"/>
        <v>0.14799999999999969</v>
      </c>
      <c r="Z227">
        <f t="shared" si="27"/>
        <v>4.9999999999999489E-3</v>
      </c>
    </row>
    <row r="228" spans="1:26">
      <c r="A228" s="4">
        <v>43784</v>
      </c>
      <c r="B228">
        <f>YEAR(data[[#This Row],[Date]])</f>
        <v>2019</v>
      </c>
      <c r="C228" s="6">
        <f t="shared" si="14"/>
        <v>0.45</v>
      </c>
      <c r="D228" s="7">
        <f t="shared" si="10"/>
        <v>0.13</v>
      </c>
      <c r="E228" s="7">
        <f t="shared" si="11"/>
        <v>0</v>
      </c>
      <c r="F228" s="20">
        <v>0.13800000000000001</v>
      </c>
      <c r="G228" s="16">
        <f>AVERAGE(0.17,0.17)</f>
        <v>0.17</v>
      </c>
      <c r="H228" s="7">
        <f t="shared" si="16"/>
        <v>0</v>
      </c>
      <c r="I228" s="7">
        <v>0.22</v>
      </c>
      <c r="J228" s="7">
        <v>0</v>
      </c>
      <c r="K228" s="7">
        <v>0.19</v>
      </c>
      <c r="L22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0.10257142857142856</v>
      </c>
      <c r="M22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6.5077145800138417E-2</v>
      </c>
      <c r="N228" s="14">
        <f>IF(data[[#This Row],[Weighted_Avg]]&lt;&gt;"", IFERROR(AVERAGE(M216,M204,M192), ""), "")</f>
        <v>5.050996859318977E-2</v>
      </c>
      <c r="O228" s="14" t="b">
        <f>IF(data[[#This Row],[Date]]&gt;MAX(data[Date])-750, TRUE, FALSE)</f>
        <v>0</v>
      </c>
      <c r="P228" s="3">
        <f t="shared" si="18"/>
        <v>0.47499999999999931</v>
      </c>
      <c r="Q228" s="3">
        <v>0.22</v>
      </c>
      <c r="R228">
        <v>3.069</v>
      </c>
      <c r="T228" s="50">
        <v>17.045000000000002</v>
      </c>
      <c r="U228">
        <v>0.95</v>
      </c>
      <c r="V228" s="50">
        <f t="shared" ref="V228:V230" si="28">W227+0.001</f>
        <v>16.446999999999999</v>
      </c>
      <c r="W228" s="50">
        <f t="shared" ref="W228:W230" si="29">V228+Y227</f>
        <v>16.594999999999999</v>
      </c>
      <c r="X228">
        <f t="shared" ref="X228:X230" si="30">X227+Z227</f>
        <v>0.45499999999999952</v>
      </c>
      <c r="Y228" s="50">
        <f t="shared" ref="Y228:Y230" si="31">W228-V228</f>
        <v>0.14799999999999969</v>
      </c>
      <c r="Z228">
        <f t="shared" ref="Z228:Z230" si="32">X228-X227</f>
        <v>4.9999999999999489E-3</v>
      </c>
    </row>
    <row r="229" spans="1:26">
      <c r="A229" s="4">
        <v>43814</v>
      </c>
      <c r="B229">
        <f>YEAR(data[[#This Row],[Date]])</f>
        <v>2019</v>
      </c>
      <c r="C229" s="6">
        <f t="shared" si="14"/>
        <v>0.46</v>
      </c>
      <c r="D229" s="7">
        <f t="shared" si="10"/>
        <v>0.14000000000000001</v>
      </c>
      <c r="E229" s="7">
        <f t="shared" si="11"/>
        <v>0</v>
      </c>
      <c r="F229" s="20">
        <v>0.14949999999999999</v>
      </c>
      <c r="G229" s="16">
        <f>AVERAGE(0.17,0.175)</f>
        <v>0.17249999999999999</v>
      </c>
      <c r="H229" s="7">
        <f t="shared" si="16"/>
        <v>0</v>
      </c>
      <c r="I229" s="7">
        <v>0.23</v>
      </c>
      <c r="J229" s="7">
        <v>0</v>
      </c>
      <c r="K229" s="7">
        <v>0.2</v>
      </c>
      <c r="L22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0.10742857142857143</v>
      </c>
      <c r="M22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6.8205083450018508E-2</v>
      </c>
      <c r="N229" s="14">
        <f>IF(data[[#This Row],[Weighted_Avg]]&lt;&gt;"", IFERROR(AVERAGE(M217,M205,M193), ""), "")</f>
        <v>5.4476829531648931E-2</v>
      </c>
      <c r="O229" s="14" t="b">
        <f>IF(data[[#This Row],[Date]]&gt;MAX(data[Date])-750, TRUE, FALSE)</f>
        <v>0</v>
      </c>
      <c r="P229" s="3">
        <f t="shared" ref="P229:P234" si="33">AVERAGEIFS(X:X,V:V,  "&lt;="&amp;T229,W:W, "&gt;="&amp;T229)</f>
        <v>0.46999999999999936</v>
      </c>
      <c r="Q229" s="3">
        <v>0.22500000000000001</v>
      </c>
      <c r="R229">
        <v>3.0550000000000002</v>
      </c>
      <c r="T229" s="50">
        <v>16.927</v>
      </c>
      <c r="U229">
        <v>0.95</v>
      </c>
      <c r="V229" s="50">
        <f t="shared" si="28"/>
        <v>16.596</v>
      </c>
      <c r="W229" s="50">
        <f t="shared" si="29"/>
        <v>16.744</v>
      </c>
      <c r="X229">
        <f t="shared" si="30"/>
        <v>0.45999999999999946</v>
      </c>
      <c r="Y229" s="50">
        <f t="shared" si="31"/>
        <v>0.14799999999999969</v>
      </c>
      <c r="Z229">
        <f t="shared" si="32"/>
        <v>4.9999999999999489E-3</v>
      </c>
    </row>
    <row r="230" spans="1:26">
      <c r="A230" s="4">
        <v>43845</v>
      </c>
      <c r="B230">
        <f>YEAR(data[[#This Row],[Date]])</f>
        <v>2020</v>
      </c>
      <c r="C230" s="6">
        <f t="shared" si="14"/>
        <v>0.46</v>
      </c>
      <c r="D230" s="7">
        <f t="shared" si="10"/>
        <v>0.15</v>
      </c>
      <c r="E230" s="7">
        <f t="shared" si="11"/>
        <v>0</v>
      </c>
      <c r="F230" s="20">
        <v>0.14949999999999999</v>
      </c>
      <c r="G230" s="16">
        <f>0.17</f>
        <v>0.17</v>
      </c>
      <c r="H230" s="7">
        <f t="shared" si="16"/>
        <v>0</v>
      </c>
      <c r="I230" s="7">
        <v>0.24</v>
      </c>
      <c r="J230" s="7">
        <v>0</v>
      </c>
      <c r="K230" s="7">
        <v>0.2</v>
      </c>
      <c r="L23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0.10850000000000001</v>
      </c>
      <c r="M23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6.9875350005412368E-2</v>
      </c>
      <c r="N230" s="14">
        <f>IF(data[[#This Row],[Weighted_Avg]]&lt;&gt;"", IFERROR(AVERAGE(M218,M206,M194), ""), "")</f>
        <v>5.3864826154540996E-2</v>
      </c>
      <c r="O230" s="14" t="b">
        <f>IF(data[[#This Row],[Date]]&gt;MAX(data[Date])-750, TRUE, FALSE)</f>
        <v>0</v>
      </c>
      <c r="P230" s="3">
        <f t="shared" si="33"/>
        <v>0.47499999999999931</v>
      </c>
      <c r="Q230" s="3">
        <v>0.23499999999999999</v>
      </c>
      <c r="R230">
        <v>3.048</v>
      </c>
      <c r="T230" s="50">
        <v>17.055</v>
      </c>
      <c r="U230">
        <v>0.97</v>
      </c>
      <c r="V230" s="50">
        <f t="shared" si="28"/>
        <v>16.745000000000001</v>
      </c>
      <c r="W230" s="50">
        <f t="shared" si="29"/>
        <v>16.893000000000001</v>
      </c>
      <c r="X230">
        <f t="shared" si="30"/>
        <v>0.46499999999999941</v>
      </c>
      <c r="Y230" s="50">
        <f t="shared" si="31"/>
        <v>0.14799999999999969</v>
      </c>
      <c r="Z230">
        <f t="shared" si="32"/>
        <v>4.9999999999999489E-3</v>
      </c>
    </row>
    <row r="231" spans="1:26">
      <c r="A231" s="4">
        <v>43876</v>
      </c>
      <c r="B231">
        <f>YEAR(data[[#This Row],[Date]])</f>
        <v>2020</v>
      </c>
      <c r="C231" s="6">
        <f t="shared" si="14"/>
        <v>0.46</v>
      </c>
      <c r="D231" s="7">
        <f t="shared" si="10"/>
        <v>0.14000000000000001</v>
      </c>
      <c r="E231" s="7">
        <f t="shared" si="11"/>
        <v>0</v>
      </c>
      <c r="F231" s="20">
        <v>0.14949999999999999</v>
      </c>
      <c r="G231" s="16">
        <f>AVERAGE(0.175,0.17)</f>
        <v>0.17249999999999999</v>
      </c>
      <c r="H231" s="7">
        <f t="shared" si="16"/>
        <v>0</v>
      </c>
      <c r="I231" s="7">
        <v>0.23</v>
      </c>
      <c r="J231" s="7">
        <v>0</v>
      </c>
      <c r="K231" s="7">
        <v>0.2</v>
      </c>
      <c r="L23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0.10742857142857143</v>
      </c>
      <c r="M23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6.9800445630032459E-2</v>
      </c>
      <c r="N231" s="14">
        <f>IF(data[[#This Row],[Weighted_Avg]]&lt;&gt;"", IFERROR(AVERAGE(M219,M207,M195), ""), "")</f>
        <v>5.2282381413090051E-2</v>
      </c>
      <c r="O231" s="14" t="b">
        <f>IF(data[[#This Row],[Date]]&gt;MAX(data[Date])-750, TRUE, FALSE)</f>
        <v>0</v>
      </c>
      <c r="P231" s="3">
        <f t="shared" si="33"/>
        <v>0.47999999999999926</v>
      </c>
      <c r="Q231" s="3">
        <v>0.23499999999999999</v>
      </c>
      <c r="R231">
        <v>2.91</v>
      </c>
      <c r="T231" s="50">
        <v>17.256</v>
      </c>
      <c r="U231">
        <v>0.98</v>
      </c>
      <c r="V231" s="50">
        <f t="shared" ref="V231:V235" si="34">W230+0.001</f>
        <v>16.894000000000002</v>
      </c>
      <c r="W231" s="50">
        <f t="shared" ref="W231:W235" si="35">V231+Y230</f>
        <v>17.042000000000002</v>
      </c>
      <c r="X231">
        <f t="shared" ref="X231:X235" si="36">X230+Z230</f>
        <v>0.46999999999999936</v>
      </c>
      <c r="Y231" s="50">
        <f t="shared" ref="Y231:Y235" si="37">W231-V231</f>
        <v>0.14799999999999969</v>
      </c>
      <c r="Z231">
        <f t="shared" ref="Z231:Z235" si="38">X231-X230</f>
        <v>4.9999999999999489E-3</v>
      </c>
    </row>
    <row r="232" spans="1:26">
      <c r="A232" s="4">
        <v>43905</v>
      </c>
      <c r="B232">
        <f>YEAR(data[[#This Row],[Date]])</f>
        <v>2020</v>
      </c>
      <c r="C232" s="6">
        <f t="shared" si="14"/>
        <v>0.45</v>
      </c>
      <c r="D232" s="7">
        <f t="shared" si="10"/>
        <v>0.14000000000000001</v>
      </c>
      <c r="E232" s="7">
        <f t="shared" si="11"/>
        <v>0</v>
      </c>
      <c r="F232" s="20">
        <v>0.14380000000000001</v>
      </c>
      <c r="G232" s="16">
        <f>AVERAGE(0.155,0.135)</f>
        <v>0.14500000000000002</v>
      </c>
      <c r="H232" s="7">
        <f t="shared" si="16"/>
        <v>0</v>
      </c>
      <c r="I232" s="7">
        <v>0.23</v>
      </c>
      <c r="J232" s="7">
        <v>0</v>
      </c>
      <c r="K232" s="7">
        <v>0.19</v>
      </c>
      <c r="L23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0.10125714285714287</v>
      </c>
      <c r="M23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6.5373678533228466E-2</v>
      </c>
      <c r="N232" s="14">
        <f>IF(data[[#This Row],[Weighted_Avg]]&lt;&gt;"", IFERROR(AVERAGE(M220,M208,M196), ""), "")</f>
        <v>5.2217513405828336E-2</v>
      </c>
      <c r="O232" s="14" t="b">
        <f>IF(data[[#This Row],[Date]]&gt;MAX(data[Date])-750, TRUE, FALSE)</f>
        <v>0</v>
      </c>
      <c r="P232" s="3">
        <f t="shared" si="33"/>
        <v>0.48499999999999921</v>
      </c>
      <c r="Q232" s="3">
        <v>0.215</v>
      </c>
      <c r="R232">
        <v>2.7290000000000001</v>
      </c>
      <c r="T232" s="50">
        <v>17.43</v>
      </c>
      <c r="U232">
        <v>1.01</v>
      </c>
      <c r="V232" s="50">
        <f t="shared" si="34"/>
        <v>17.043000000000003</v>
      </c>
      <c r="W232" s="50">
        <f t="shared" si="35"/>
        <v>17.191000000000003</v>
      </c>
      <c r="X232">
        <f t="shared" si="36"/>
        <v>0.47499999999999931</v>
      </c>
      <c r="Y232" s="50">
        <f t="shared" si="37"/>
        <v>0.14799999999999969</v>
      </c>
      <c r="Z232">
        <f t="shared" si="38"/>
        <v>4.9999999999999489E-3</v>
      </c>
    </row>
    <row r="233" spans="1:26">
      <c r="A233" s="4">
        <v>43936</v>
      </c>
      <c r="B233">
        <f>YEAR(data[[#This Row],[Date]])</f>
        <v>2020</v>
      </c>
      <c r="C233" s="6">
        <f t="shared" si="14"/>
        <v>0.42</v>
      </c>
      <c r="D233" s="7">
        <f t="shared" si="10"/>
        <v>0.11</v>
      </c>
      <c r="E233" s="7">
        <f t="shared" si="11"/>
        <v>0</v>
      </c>
      <c r="F233" s="20">
        <v>0.1208</v>
      </c>
      <c r="G233" s="16">
        <f>AVERAGE(0.125, 0.095)</f>
        <v>0.11</v>
      </c>
      <c r="H233" s="7">
        <f t="shared" si="16"/>
        <v>0</v>
      </c>
      <c r="I233" s="7">
        <v>0.2</v>
      </c>
      <c r="J233" s="7">
        <v>0</v>
      </c>
      <c r="K233" s="7">
        <v>0.17</v>
      </c>
      <c r="L23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8.5828571428571435E-2</v>
      </c>
      <c r="M23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5.6601171642881309E-2</v>
      </c>
      <c r="N233" s="14">
        <f>IF(data[[#This Row],[Weighted_Avg]]&lt;&gt;"", IFERROR(AVERAGE(M221,M209,M197), ""), "")</f>
        <v>5.2466709345245145E-2</v>
      </c>
      <c r="O233" s="14" t="b">
        <f>IF(data[[#This Row],[Date]]&gt;MAX(data[Date])-750, TRUE, FALSE)</f>
        <v>0</v>
      </c>
      <c r="P233" s="3">
        <f t="shared" si="33"/>
        <v>0.45499999999999952</v>
      </c>
      <c r="Q233" s="3">
        <v>0.185</v>
      </c>
      <c r="R233">
        <v>2.4929999999999999</v>
      </c>
      <c r="T233" s="50">
        <v>16.452000000000002</v>
      </c>
      <c r="U233">
        <v>0.95</v>
      </c>
      <c r="V233" s="50">
        <f t="shared" si="34"/>
        <v>17.192000000000004</v>
      </c>
      <c r="W233" s="50">
        <f t="shared" si="35"/>
        <v>17.340000000000003</v>
      </c>
      <c r="X233">
        <f t="shared" si="36"/>
        <v>0.47999999999999926</v>
      </c>
      <c r="Y233" s="50">
        <f t="shared" si="37"/>
        <v>0.14799999999999969</v>
      </c>
      <c r="Z233">
        <f t="shared" si="38"/>
        <v>4.9999999999999489E-3</v>
      </c>
    </row>
    <row r="234" spans="1:26">
      <c r="A234" s="4">
        <v>43966</v>
      </c>
      <c r="B234">
        <f>YEAR(data[[#This Row],[Date]])</f>
        <v>2020</v>
      </c>
      <c r="C234" s="6">
        <f t="shared" si="14"/>
        <v>0.37</v>
      </c>
      <c r="D234" s="7">
        <f t="shared" si="10"/>
        <v>0.06</v>
      </c>
      <c r="E234" s="7">
        <f t="shared" si="11"/>
        <v>0</v>
      </c>
      <c r="F234" s="20">
        <v>8.6300000000000002E-2</v>
      </c>
      <c r="G234" s="16">
        <f>AVERAGE(0.07,0.055)</f>
        <v>6.25E-2</v>
      </c>
      <c r="H234" s="7">
        <f t="shared" ref="H234:H253" si="39">IF(R232&gt;3.75, ROUNDDOWN((R232-3.75)/0.04, 0)+1, 0)/100</f>
        <v>0</v>
      </c>
      <c r="I234" s="7">
        <v>0.15</v>
      </c>
      <c r="J234" s="7">
        <v>0</v>
      </c>
      <c r="K234" s="7">
        <v>0.13</v>
      </c>
      <c r="L23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6.125714285714285E-2</v>
      </c>
      <c r="M23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4.1418848250370351E-2</v>
      </c>
      <c r="N234" s="14">
        <f>IF(data[[#This Row],[Weighted_Avg]]&lt;&gt;"", IFERROR(AVERAGE(M222,M210,M198), ""), "")</f>
        <v>5.4023945535682544E-2</v>
      </c>
      <c r="O234" s="14" t="b">
        <f>IF(data[[#This Row],[Date]]&gt;MAX(data[Date])-750, TRUE, FALSE)</f>
        <v>0</v>
      </c>
      <c r="P234" s="3">
        <f t="shared" si="33"/>
        <v>0.41499999999999992</v>
      </c>
      <c r="Q234" s="3">
        <v>0.14000000000000001</v>
      </c>
      <c r="R234">
        <v>2.3919999999999999</v>
      </c>
      <c r="T234" s="50">
        <v>15.403</v>
      </c>
      <c r="U234">
        <v>0.74</v>
      </c>
      <c r="V234" s="50">
        <f t="shared" si="34"/>
        <v>17.341000000000005</v>
      </c>
      <c r="W234" s="50">
        <f t="shared" si="35"/>
        <v>17.489000000000004</v>
      </c>
      <c r="X234">
        <f t="shared" si="36"/>
        <v>0.48499999999999921</v>
      </c>
      <c r="Y234" s="50">
        <f t="shared" si="37"/>
        <v>0.14799999999999969</v>
      </c>
      <c r="Z234">
        <f t="shared" si="38"/>
        <v>4.9999999999999489E-3</v>
      </c>
    </row>
    <row r="235" spans="1:26">
      <c r="A235" s="4">
        <v>43997</v>
      </c>
      <c r="B235">
        <f>YEAR(data[[#This Row],[Date]])</f>
        <v>2020</v>
      </c>
      <c r="C235" s="6">
        <f t="shared" si="14"/>
        <v>0.32</v>
      </c>
      <c r="D235" s="7">
        <f t="shared" si="10"/>
        <v>0</v>
      </c>
      <c r="E235" s="7">
        <f t="shared" si="11"/>
        <v>0</v>
      </c>
      <c r="F235" s="20">
        <v>4.0300000000000002E-2</v>
      </c>
      <c r="G235" s="16">
        <f>AVERAGE(0.035,0.03)</f>
        <v>3.2500000000000001E-2</v>
      </c>
      <c r="H235" s="7">
        <f t="shared" si="39"/>
        <v>0</v>
      </c>
      <c r="I235" s="7">
        <v>0.09</v>
      </c>
      <c r="J235" s="7">
        <v>0</v>
      </c>
      <c r="K235" s="7">
        <v>0.08</v>
      </c>
      <c r="L23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3.4685714285714285E-2</v>
      </c>
      <c r="M23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2.4399468983407911E-2</v>
      </c>
      <c r="N235" s="14">
        <f>IF(data[[#This Row],[Weighted_Avg]]&lt;&gt;"", IFERROR(AVERAGE(M223,M211,M199), ""), "")</f>
        <v>5.7847737241151526E-2</v>
      </c>
      <c r="O235" s="14" t="b">
        <f>IF(data[[#This Row],[Date]]&gt;MAX(data[Date])-750, TRUE, FALSE)</f>
        <v>0</v>
      </c>
      <c r="P235" s="3">
        <f t="shared" ref="P235" si="40">AVERAGEIFS(X:X,V:V,  "&lt;="&amp;T235,W:W, "&gt;="&amp;T235)</f>
        <v>0.38</v>
      </c>
      <c r="Q235" s="3">
        <v>0.125</v>
      </c>
      <c r="R235">
        <v>2.4079999999999999</v>
      </c>
      <c r="T235" s="50">
        <v>14.234</v>
      </c>
      <c r="U235">
        <v>0.61</v>
      </c>
      <c r="V235" s="50">
        <f t="shared" si="34"/>
        <v>17.490000000000006</v>
      </c>
      <c r="W235" s="50">
        <f t="shared" si="35"/>
        <v>17.638000000000005</v>
      </c>
      <c r="X235">
        <f t="shared" si="36"/>
        <v>0.48999999999999916</v>
      </c>
      <c r="Y235" s="50">
        <f t="shared" si="37"/>
        <v>0.14799999999999969</v>
      </c>
      <c r="Z235">
        <f t="shared" si="38"/>
        <v>4.9999999999999489E-3</v>
      </c>
    </row>
    <row r="236" spans="1:26">
      <c r="A236" s="4">
        <v>44027</v>
      </c>
      <c r="B236">
        <f>YEAR(data[[#This Row],[Date]])</f>
        <v>2020</v>
      </c>
      <c r="C236" s="6">
        <f t="shared" si="14"/>
        <v>0.28999999999999998</v>
      </c>
      <c r="D236" s="7">
        <f t="shared" si="10"/>
        <v>-0.02</v>
      </c>
      <c r="E236" s="7">
        <f t="shared" si="11"/>
        <v>0</v>
      </c>
      <c r="F236" s="20">
        <v>2.3E-2</v>
      </c>
      <c r="G236" s="44">
        <f>AVERAGE(0.03,0.035)</f>
        <v>3.2500000000000001E-2</v>
      </c>
      <c r="H236" s="7">
        <f t="shared" si="39"/>
        <v>0</v>
      </c>
      <c r="I236" s="11">
        <v>7.0000000000000007E-2</v>
      </c>
      <c r="J236" s="7">
        <v>0</v>
      </c>
      <c r="K236" s="11">
        <v>0.06</v>
      </c>
      <c r="L236"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2.6499999999999999E-2</v>
      </c>
      <c r="M236" s="44">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1.8575582244743011E-2</v>
      </c>
      <c r="N236" s="36">
        <f>IF(data[[#This Row],[Weighted_Avg]]&lt;&gt;"", IFERROR(AVERAGE(M224,M212,M200), ""), "")</f>
        <v>6.1151896951006562E-2</v>
      </c>
      <c r="O236" s="36" t="b">
        <f>IF(data[[#This Row],[Date]]&gt;MAX(data[Date])-750, TRUE, FALSE)</f>
        <v>0</v>
      </c>
      <c r="P236" s="37">
        <f t="shared" ref="P236:P248" si="41">AVERAGEIFS(X:X,V:V,  "&lt;="&amp;T236,W:W, "&gt;="&amp;T236)</f>
        <v>0.38</v>
      </c>
      <c r="Q236" s="37">
        <v>0.16</v>
      </c>
      <c r="R236">
        <v>2.4340000000000002</v>
      </c>
      <c r="T236">
        <v>14.225</v>
      </c>
      <c r="U236">
        <v>0.63</v>
      </c>
      <c r="V236" s="50">
        <f t="shared" ref="V236:V240" si="42">W235+0.001</f>
        <v>17.639000000000006</v>
      </c>
      <c r="W236" s="50">
        <f t="shared" ref="W236:W240" si="43">V236+Y235</f>
        <v>17.787000000000006</v>
      </c>
      <c r="X236">
        <f t="shared" ref="X236:X240" si="44">X235+Z235</f>
        <v>0.49499999999999911</v>
      </c>
      <c r="Y236" s="50">
        <f t="shared" ref="Y236:Y240" si="45">W236-V236</f>
        <v>0.14799999999999969</v>
      </c>
      <c r="Z236">
        <f t="shared" ref="Z236:Z240" si="46">X236-X235</f>
        <v>4.9999999999999489E-3</v>
      </c>
    </row>
    <row r="237" spans="1:26">
      <c r="A237" s="4">
        <v>44058</v>
      </c>
      <c r="B237">
        <f>YEAR(data[[#This Row],[Date]])</f>
        <v>2020</v>
      </c>
      <c r="C237" s="6">
        <f t="shared" si="14"/>
        <v>0.28999999999999998</v>
      </c>
      <c r="D237" s="7">
        <f t="shared" si="10"/>
        <v>-0.02</v>
      </c>
      <c r="E237" s="7">
        <f t="shared" si="11"/>
        <v>0</v>
      </c>
      <c r="F237" s="20">
        <v>2.3E-2</v>
      </c>
      <c r="G237" s="16">
        <v>0.04</v>
      </c>
      <c r="H237" s="7">
        <f t="shared" si="39"/>
        <v>0</v>
      </c>
      <c r="I237" s="11">
        <v>7.0000000000000007E-2</v>
      </c>
      <c r="J237" s="7">
        <v>0</v>
      </c>
      <c r="K237" s="11">
        <v>7.0000000000000007E-2</v>
      </c>
      <c r="L23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2.9000000000000001E-2</v>
      </c>
      <c r="M23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2.1341200301880851E-2</v>
      </c>
      <c r="N237" s="36">
        <f>IF(data[[#This Row],[Weighted_Avg]]&lt;&gt;"", IFERROR(AVERAGE(M225,M213,M201), ""), "")</f>
        <v>5.8513784958641596E-2</v>
      </c>
      <c r="O237" s="14" t="b">
        <f>IF(data[[#This Row],[Date]]&gt;MAX(data[Date])-750, TRUE, FALSE)</f>
        <v>0</v>
      </c>
      <c r="P237" s="37">
        <f t="shared" si="41"/>
        <v>0.41</v>
      </c>
      <c r="Q237" s="3">
        <v>0.185</v>
      </c>
      <c r="R237">
        <v>2.4289999999999998</v>
      </c>
      <c r="T237" s="50">
        <v>15.253</v>
      </c>
      <c r="U237">
        <v>0.72</v>
      </c>
      <c r="V237" s="50">
        <f t="shared" si="42"/>
        <v>17.788000000000007</v>
      </c>
      <c r="W237" s="50">
        <f t="shared" si="43"/>
        <v>17.936000000000007</v>
      </c>
      <c r="X237">
        <f t="shared" si="44"/>
        <v>0.49999999999999906</v>
      </c>
      <c r="Y237" s="50">
        <f t="shared" si="45"/>
        <v>0.14799999999999969</v>
      </c>
      <c r="Z237">
        <f t="shared" si="46"/>
        <v>4.9999999999999489E-3</v>
      </c>
    </row>
    <row r="238" spans="1:26">
      <c r="A238" s="4">
        <v>44089</v>
      </c>
      <c r="B238">
        <f>YEAR(data[[#This Row],[Date]])</f>
        <v>2020</v>
      </c>
      <c r="C238" s="6">
        <f t="shared" si="14"/>
        <v>0.3</v>
      </c>
      <c r="D238" s="7">
        <f t="shared" si="10"/>
        <v>-0.01</v>
      </c>
      <c r="E238" s="7">
        <f t="shared" si="11"/>
        <v>0</v>
      </c>
      <c r="F238" s="20">
        <v>2.8799999999999999E-2</v>
      </c>
      <c r="G238" s="16">
        <v>0.04</v>
      </c>
      <c r="H238" s="7">
        <f t="shared" si="39"/>
        <v>0</v>
      </c>
      <c r="I238" s="11">
        <v>0.08</v>
      </c>
      <c r="J238" s="7">
        <v>0</v>
      </c>
      <c r="K238" s="11">
        <v>7.0000000000000007E-2</v>
      </c>
      <c r="L23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3.1257142857142858E-2</v>
      </c>
      <c r="M23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2.1869517830878597E-2</v>
      </c>
      <c r="N238" s="36">
        <f>IF(data[[#This Row],[Weighted_Avg]]&lt;&gt;"", IFERROR(AVERAGE(M226,M214,M202), ""), "")</f>
        <v>5.6208493435722463E-2</v>
      </c>
      <c r="O238" s="14" t="b">
        <f>IF(data[[#This Row],[Date]]&gt;MAX(data[Date])-750, TRUE, FALSE)</f>
        <v>0</v>
      </c>
      <c r="P238" s="37">
        <f t="shared" si="41"/>
        <v>0.42999999999999977</v>
      </c>
      <c r="Q238" s="3">
        <v>0.185</v>
      </c>
      <c r="R238">
        <v>2.4140000000000001</v>
      </c>
      <c r="T238" s="50">
        <v>15.819000000000001</v>
      </c>
      <c r="U238">
        <v>0.75</v>
      </c>
      <c r="V238" s="50">
        <f t="shared" si="42"/>
        <v>17.937000000000008</v>
      </c>
      <c r="W238" s="50">
        <f t="shared" si="43"/>
        <v>18.085000000000008</v>
      </c>
      <c r="X238">
        <f t="shared" si="44"/>
        <v>0.50499999999999901</v>
      </c>
      <c r="Y238" s="50">
        <f t="shared" si="45"/>
        <v>0.14799999999999969</v>
      </c>
      <c r="Z238">
        <f t="shared" si="46"/>
        <v>4.9999999999999489E-3</v>
      </c>
    </row>
    <row r="239" spans="1:26">
      <c r="A239" s="4">
        <v>44119</v>
      </c>
      <c r="B239">
        <f>YEAR(data[[#This Row],[Date]])</f>
        <v>2020</v>
      </c>
      <c r="C239" s="6">
        <f t="shared" si="14"/>
        <v>0.3</v>
      </c>
      <c r="D239" s="7">
        <f t="shared" si="10"/>
        <v>-0.01</v>
      </c>
      <c r="E239" s="7">
        <f t="shared" si="11"/>
        <v>0</v>
      </c>
      <c r="F239" s="20">
        <v>2.8799999999999999E-2</v>
      </c>
      <c r="G239" s="16">
        <f>AVERAGE(0.04, 0.035)</f>
        <v>3.7500000000000006E-2</v>
      </c>
      <c r="H239" s="7">
        <f t="shared" si="39"/>
        <v>0</v>
      </c>
      <c r="I239" s="11">
        <v>0.08</v>
      </c>
      <c r="J239" s="7">
        <v>0</v>
      </c>
      <c r="K239" s="11">
        <v>7.0000000000000007E-2</v>
      </c>
      <c r="L23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3.09E-2</v>
      </c>
      <c r="M23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2.1696294011359137E-2</v>
      </c>
      <c r="N239" s="36">
        <f>IF(data[[#This Row],[Weighted_Avg]]&lt;&gt;"", IFERROR(AVERAGE(M227,M215,M203), ""), "")</f>
        <v>5.9488792884003348E-2</v>
      </c>
      <c r="O239" s="14" t="b">
        <f>IF(data[[#This Row],[Date]]&gt;MAX(data[Date])-750, TRUE, FALSE)</f>
        <v>0</v>
      </c>
      <c r="P239" s="37">
        <f t="shared" si="41"/>
        <v>0.42999999999999977</v>
      </c>
      <c r="Q239" s="3">
        <v>0.16</v>
      </c>
      <c r="R239">
        <v>2.3889999999999998</v>
      </c>
      <c r="T239" s="50">
        <v>15.750999999999999</v>
      </c>
      <c r="U239">
        <v>0.76</v>
      </c>
      <c r="V239" s="50">
        <f t="shared" si="42"/>
        <v>18.086000000000009</v>
      </c>
      <c r="W239" s="50">
        <f t="shared" si="43"/>
        <v>18.234000000000009</v>
      </c>
      <c r="X239">
        <f t="shared" si="44"/>
        <v>0.5099999999999989</v>
      </c>
      <c r="Y239" s="50">
        <f t="shared" si="45"/>
        <v>0.14799999999999969</v>
      </c>
      <c r="Z239">
        <f t="shared" si="46"/>
        <v>4.9999999999998934E-3</v>
      </c>
    </row>
    <row r="240" spans="1:26">
      <c r="A240" s="4">
        <v>44150</v>
      </c>
      <c r="B240">
        <f>YEAR(data[[#This Row],[Date]])</f>
        <v>2020</v>
      </c>
      <c r="C240" s="6">
        <f t="shared" si="14"/>
        <v>0.3</v>
      </c>
      <c r="D240" s="7">
        <f t="shared" si="10"/>
        <v>-0.02</v>
      </c>
      <c r="E240" s="7">
        <f t="shared" si="11"/>
        <v>0</v>
      </c>
      <c r="F240" s="20">
        <v>2.3E-2</v>
      </c>
      <c r="G240" s="16">
        <f>0.03</f>
        <v>0.03</v>
      </c>
      <c r="H240" s="7">
        <f t="shared" si="39"/>
        <v>0</v>
      </c>
      <c r="I240" s="11">
        <v>7.0000000000000007E-2</v>
      </c>
      <c r="J240" s="7">
        <v>0</v>
      </c>
      <c r="K240" s="11">
        <v>7.0000000000000007E-2</v>
      </c>
      <c r="L240"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2.7571428571428573E-2</v>
      </c>
      <c r="M24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2.0648305023803017E-2</v>
      </c>
      <c r="N240" s="36">
        <f>IF(data[[#This Row],[Weighted_Avg]]&lt;&gt;"", IFERROR(AVERAGE(M228,M216,M204), ""), "")</f>
        <v>6.4827607005327664E-2</v>
      </c>
      <c r="O240" s="14" t="b">
        <f>IF(data[[#This Row],[Date]]&gt;MAX(data[Date])-750, TRUE, FALSE)</f>
        <v>0</v>
      </c>
      <c r="P240" s="37">
        <f t="shared" si="41"/>
        <v>0.40500000000000003</v>
      </c>
      <c r="Q240" s="3">
        <v>0.14000000000000001</v>
      </c>
      <c r="R240">
        <v>2.4319999999999999</v>
      </c>
      <c r="T240" s="50">
        <v>14.958</v>
      </c>
      <c r="U240">
        <v>0.72</v>
      </c>
      <c r="V240" s="50">
        <f t="shared" si="42"/>
        <v>18.23500000000001</v>
      </c>
      <c r="W240" s="50">
        <f t="shared" si="43"/>
        <v>18.38300000000001</v>
      </c>
      <c r="X240">
        <f t="shared" si="44"/>
        <v>0.51499999999999879</v>
      </c>
      <c r="Y240" s="50">
        <f t="shared" si="45"/>
        <v>0.14799999999999969</v>
      </c>
      <c r="Z240">
        <f t="shared" si="46"/>
        <v>4.9999999999998934E-3</v>
      </c>
    </row>
    <row r="241" spans="1:26">
      <c r="A241" s="4">
        <v>44180</v>
      </c>
      <c r="B241">
        <f>YEAR(data[[#This Row],[Date]])</f>
        <v>2020</v>
      </c>
      <c r="C241" s="6">
        <f t="shared" si="14"/>
        <v>0.28999999999999998</v>
      </c>
      <c r="D241" s="7">
        <f t="shared" si="10"/>
        <v>-0.02</v>
      </c>
      <c r="E241" s="7">
        <f t="shared" si="11"/>
        <v>0</v>
      </c>
      <c r="F241" s="20">
        <v>1.7299999999999999E-2</v>
      </c>
      <c r="G241" s="16">
        <f>AVERAGE(0.03, 0.045)</f>
        <v>3.7499999999999999E-2</v>
      </c>
      <c r="H241" s="7">
        <f t="shared" si="39"/>
        <v>0</v>
      </c>
      <c r="I241" s="11">
        <v>7.0000000000000007E-2</v>
      </c>
      <c r="J241" s="7">
        <v>0</v>
      </c>
      <c r="K241" s="11">
        <v>0.06</v>
      </c>
      <c r="L241"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2.6400000000000003E-2</v>
      </c>
      <c r="M24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1.8646671400271448E-2</v>
      </c>
      <c r="N241" s="36">
        <f>IF(data[[#This Row],[Weighted_Avg]]&lt;&gt;"", IFERROR(AVERAGE(M229,M217,M205), ""), "")</f>
        <v>6.7917055766019266E-2</v>
      </c>
      <c r="O241" s="14" t="b">
        <f>IF(data[[#This Row],[Date]]&gt;MAX(data[Date])-750, TRUE, FALSE)</f>
        <v>0</v>
      </c>
      <c r="P241" s="37">
        <f t="shared" si="41"/>
        <v>0.41</v>
      </c>
      <c r="Q241" s="3">
        <v>0.13500000000000001</v>
      </c>
      <c r="R241">
        <v>2.585</v>
      </c>
      <c r="T241" s="50">
        <v>15.113</v>
      </c>
      <c r="U241">
        <v>0.75</v>
      </c>
      <c r="V241" s="50">
        <f t="shared" ref="V241:V244" si="47">W240+0.001</f>
        <v>18.384000000000011</v>
      </c>
      <c r="W241" s="50">
        <f t="shared" ref="W241:W244" si="48">V241+Y240</f>
        <v>18.532000000000011</v>
      </c>
      <c r="X241">
        <f t="shared" ref="X241:X244" si="49">X240+Z240</f>
        <v>0.51999999999999869</v>
      </c>
      <c r="Y241" s="50">
        <f t="shared" ref="Y241:Y244" si="50">W241-V241</f>
        <v>0.14799999999999969</v>
      </c>
      <c r="Z241">
        <f t="shared" ref="Z241:Z244" si="51">X241-X240</f>
        <v>4.9999999999998934E-3</v>
      </c>
    </row>
    <row r="242" spans="1:26">
      <c r="A242" s="4">
        <v>44211</v>
      </c>
      <c r="B242">
        <f>YEAR(data[[#This Row],[Date]])</f>
        <v>2021</v>
      </c>
      <c r="C242" s="6">
        <f t="shared" si="14"/>
        <v>0.3</v>
      </c>
      <c r="D242" s="7">
        <f t="shared" si="10"/>
        <v>-0.01</v>
      </c>
      <c r="E242" s="7">
        <f t="shared" si="11"/>
        <v>0</v>
      </c>
      <c r="F242" s="20">
        <v>2.8799999999999999E-2</v>
      </c>
      <c r="G242" s="16">
        <f>AVERAGE(0.075,0.06)</f>
        <v>6.7500000000000004E-2</v>
      </c>
      <c r="H242" s="7">
        <f t="shared" si="39"/>
        <v>0</v>
      </c>
      <c r="I242" s="11">
        <v>0.08</v>
      </c>
      <c r="J242" s="7">
        <v>0</v>
      </c>
      <c r="K242" s="11">
        <v>7.0000000000000007E-2</v>
      </c>
      <c r="L242"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3.5185714285714285E-2</v>
      </c>
      <c r="M24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2.519392248255364E-2</v>
      </c>
      <c r="N242" s="36">
        <f>IF(data[[#This Row],[Weighted_Avg]]&lt;&gt;"", IFERROR(AVERAGE(M230,M218,M206), ""), "")</f>
        <v>6.9573848522341122E-2</v>
      </c>
      <c r="O242" s="14" t="b">
        <f>IF(data[[#This Row],[Date]]&gt;MAX(data[Date])-750, TRUE, FALSE)</f>
        <v>0</v>
      </c>
      <c r="P242" s="37">
        <f t="shared" si="41"/>
        <v>0.41499999999999992</v>
      </c>
      <c r="Q242" s="3">
        <v>0.17499999999999999</v>
      </c>
      <c r="R242">
        <v>2.681</v>
      </c>
      <c r="T242" s="50">
        <v>15.321</v>
      </c>
      <c r="U242">
        <v>0.79</v>
      </c>
      <c r="V242" s="50">
        <f t="shared" si="47"/>
        <v>18.533000000000012</v>
      </c>
      <c r="W242" s="50">
        <f t="shared" si="48"/>
        <v>18.681000000000012</v>
      </c>
      <c r="X242">
        <f t="shared" si="49"/>
        <v>0.52499999999999858</v>
      </c>
      <c r="Y242" s="50">
        <f t="shared" si="50"/>
        <v>0.14799999999999969</v>
      </c>
      <c r="Z242">
        <f t="shared" si="51"/>
        <v>4.9999999999998934E-3</v>
      </c>
    </row>
    <row r="243" spans="1:26">
      <c r="A243" s="4">
        <v>44242</v>
      </c>
      <c r="B243">
        <f>YEAR(data[[#This Row],[Date]])</f>
        <v>2021</v>
      </c>
      <c r="C243" s="6">
        <f t="shared" si="14"/>
        <v>0.34</v>
      </c>
      <c r="D243" s="7">
        <f t="shared" si="10"/>
        <v>0.03</v>
      </c>
      <c r="E243" s="7">
        <f t="shared" si="11"/>
        <v>0</v>
      </c>
      <c r="F243" s="20">
        <v>5.7500000000000002E-2</v>
      </c>
      <c r="G243" s="16">
        <f>AVERAGE(0.085, 0.1)</f>
        <v>9.2499999999999999E-2</v>
      </c>
      <c r="H243" s="7">
        <f t="shared" si="39"/>
        <v>0</v>
      </c>
      <c r="I243" s="11">
        <v>0.12</v>
      </c>
      <c r="J243" s="7">
        <v>0</v>
      </c>
      <c r="K243" s="11">
        <v>0.1</v>
      </c>
      <c r="L243"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5.2857142857142859E-2</v>
      </c>
      <c r="M24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3.6659594218519539E-2</v>
      </c>
      <c r="N243" s="36">
        <f>IF(data[[#This Row],[Weighted_Avg]]&lt;&gt;"", IFERROR(AVERAGE(M231,M219,M207), ""), "")</f>
        <v>6.5556572543620004E-2</v>
      </c>
      <c r="O243" s="14" t="b">
        <f>IF(data[[#This Row],[Date]]&gt;MAX(data[Date])-750, TRUE, FALSE)</f>
        <v>0</v>
      </c>
      <c r="P243" s="37">
        <f t="shared" si="41"/>
        <v>0.43999999999999967</v>
      </c>
      <c r="Q243" s="3">
        <v>0.2</v>
      </c>
      <c r="R243">
        <v>2.847</v>
      </c>
      <c r="T243" s="50">
        <v>16.015999999999998</v>
      </c>
      <c r="U243">
        <v>0.86</v>
      </c>
      <c r="V243" s="50">
        <f t="shared" si="47"/>
        <v>18.682000000000013</v>
      </c>
      <c r="W243" s="50">
        <f t="shared" si="48"/>
        <v>18.830000000000013</v>
      </c>
      <c r="X243">
        <f t="shared" si="49"/>
        <v>0.52999999999999847</v>
      </c>
      <c r="Y243" s="50">
        <f t="shared" si="50"/>
        <v>0.14799999999999969</v>
      </c>
      <c r="Z243">
        <f t="shared" si="51"/>
        <v>4.9999999999998934E-3</v>
      </c>
    </row>
    <row r="244" spans="1:26">
      <c r="A244" s="4">
        <v>44270</v>
      </c>
      <c r="B244">
        <f>YEAR(data[[#This Row],[Date]])</f>
        <v>2021</v>
      </c>
      <c r="C244" s="6">
        <f t="shared" si="14"/>
        <v>0.36</v>
      </c>
      <c r="D244" s="7">
        <f t="shared" si="10"/>
        <v>0.05</v>
      </c>
      <c r="E244" s="7">
        <f t="shared" si="11"/>
        <v>0</v>
      </c>
      <c r="F244" s="20">
        <v>7.4800000000000005E-2</v>
      </c>
      <c r="G244" s="16">
        <f>AVERAGE(0.105,0.145)</f>
        <v>0.125</v>
      </c>
      <c r="H244" s="7">
        <f t="shared" si="39"/>
        <v>0</v>
      </c>
      <c r="I244" s="11">
        <v>0.14000000000000001</v>
      </c>
      <c r="J244" s="7">
        <v>0</v>
      </c>
      <c r="K244" s="11">
        <v>0.12</v>
      </c>
      <c r="L244"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6.5685714285714278E-2</v>
      </c>
      <c r="M24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4.5221085434282833E-2</v>
      </c>
      <c r="N244" s="36">
        <f>IF(data[[#This Row],[Weighted_Avg]]&lt;&gt;"", IFERROR(AVERAGE(M232,M220,M208), ""), "")</f>
        <v>6.311033678535212E-2</v>
      </c>
      <c r="O244" s="14" t="b">
        <f>IF(data[[#This Row],[Date]]&gt;MAX(data[Date])-750, TRUE, FALSE)</f>
        <v>0</v>
      </c>
      <c r="P244" s="37">
        <f t="shared" si="41"/>
        <v>0.46499999999999941</v>
      </c>
      <c r="Q244" s="3">
        <v>0.23499999999999999</v>
      </c>
      <c r="R244">
        <v>3.1520000000000001</v>
      </c>
      <c r="T244" s="50">
        <v>16.780999999999999</v>
      </c>
      <c r="U244">
        <v>0.92</v>
      </c>
      <c r="V244" s="50">
        <f t="shared" si="47"/>
        <v>18.831000000000014</v>
      </c>
      <c r="W244" s="50">
        <f t="shared" si="48"/>
        <v>18.979000000000013</v>
      </c>
      <c r="X244">
        <f t="shared" si="49"/>
        <v>0.53499999999999837</v>
      </c>
      <c r="Y244" s="50">
        <f t="shared" si="50"/>
        <v>0.14799999999999969</v>
      </c>
      <c r="Z244">
        <f t="shared" si="51"/>
        <v>4.9999999999998934E-3</v>
      </c>
    </row>
    <row r="245" spans="1:26">
      <c r="A245" s="4">
        <v>44301</v>
      </c>
      <c r="B245">
        <f>YEAR(data[[#This Row],[Date]])</f>
        <v>2021</v>
      </c>
      <c r="C245" s="6">
        <f t="shared" si="14"/>
        <v>0.4</v>
      </c>
      <c r="D245" s="7">
        <f t="shared" si="10"/>
        <v>0.09</v>
      </c>
      <c r="E245" s="7">
        <f t="shared" si="11"/>
        <v>0</v>
      </c>
      <c r="F245" s="20">
        <v>0.114</v>
      </c>
      <c r="G245" s="16">
        <f>AVERAGE(0.18,0.2)</f>
        <v>0.19</v>
      </c>
      <c r="H245" s="7">
        <f t="shared" si="39"/>
        <v>0</v>
      </c>
      <c r="I245" s="11">
        <v>0.18</v>
      </c>
      <c r="J245" s="7">
        <v>0</v>
      </c>
      <c r="K245" s="11">
        <v>0.15</v>
      </c>
      <c r="L245"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9.0571428571428567E-2</v>
      </c>
      <c r="M24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6.0210713302141075E-2</v>
      </c>
      <c r="N245" s="36">
        <f>IF(data[[#This Row],[Weighted_Avg]]&lt;&gt;"", IFERROR(AVERAGE(M233,M221,M209), ""), "")</f>
        <v>6.0588580539761516E-2</v>
      </c>
      <c r="O245" s="14" t="b">
        <f>IF(data[[#This Row],[Date]]&gt;MAX(data[Date])-750, TRUE, FALSE)</f>
        <v>0</v>
      </c>
      <c r="P245" s="37">
        <f t="shared" si="41"/>
        <v>0.49499999999999911</v>
      </c>
      <c r="Q245" s="3">
        <v>0.245</v>
      </c>
      <c r="R245">
        <v>3.13</v>
      </c>
      <c r="T245" s="50">
        <v>17.783000000000001</v>
      </c>
      <c r="U245">
        <v>0.96</v>
      </c>
      <c r="V245" s="50">
        <f t="shared" ref="V245:V249" si="52">W244+0.001</f>
        <v>18.980000000000015</v>
      </c>
      <c r="W245" s="50">
        <f t="shared" ref="W245:W249" si="53">V245+Y244</f>
        <v>19.128000000000014</v>
      </c>
      <c r="X245">
        <f t="shared" ref="X245:X249" si="54">X244+Z244</f>
        <v>0.53999999999999826</v>
      </c>
      <c r="Y245" s="50">
        <f t="shared" ref="Y245:Y249" si="55">W245-V245</f>
        <v>0.14799999999999969</v>
      </c>
      <c r="Z245">
        <f t="shared" ref="Z245:Z249" si="56">X245-X244</f>
        <v>4.9999999999998934E-3</v>
      </c>
    </row>
    <row r="246" spans="1:26">
      <c r="A246" s="4">
        <v>44331</v>
      </c>
      <c r="B246">
        <f>YEAR(data[[#This Row],[Date]])</f>
        <v>2021</v>
      </c>
      <c r="C246" s="6">
        <f t="shared" si="14"/>
        <v>0.48</v>
      </c>
      <c r="D246" s="7">
        <f t="shared" si="10"/>
        <v>0.17</v>
      </c>
      <c r="E246" s="7">
        <f t="shared" si="11"/>
        <v>0</v>
      </c>
      <c r="F246" s="20">
        <v>0.17399999999999999</v>
      </c>
      <c r="G246" s="16">
        <f>AVERAGE(0.19,0.185)</f>
        <v>0.1875</v>
      </c>
      <c r="H246" s="7">
        <f t="shared" si="39"/>
        <v>0</v>
      </c>
      <c r="I246" s="11">
        <v>0.26</v>
      </c>
      <c r="J246" s="7">
        <v>0</v>
      </c>
      <c r="K246" s="11">
        <v>0.22</v>
      </c>
      <c r="L246"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0.1202142857142857</v>
      </c>
      <c r="M24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8.1686674401634879E-2</v>
      </c>
      <c r="N246" s="36">
        <f>IF(data[[#This Row],[Weighted_Avg]]&lt;&gt;"", IFERROR(AVERAGE(M234,M222,M210), ""), "")</f>
        <v>5.7016229566643546E-2</v>
      </c>
      <c r="O246" s="14" t="b">
        <f>IF(data[[#This Row],[Date]]&gt;MAX(data[Date])-750, TRUE, FALSE)</f>
        <v>0</v>
      </c>
      <c r="P246" s="37">
        <f t="shared" si="41"/>
        <v>0.50499999999999901</v>
      </c>
      <c r="Q246" s="3">
        <v>0.245</v>
      </c>
      <c r="R246">
        <v>3.2170000000000001</v>
      </c>
      <c r="T246" s="50">
        <v>17.945</v>
      </c>
      <c r="U246">
        <v>0.96</v>
      </c>
      <c r="V246" s="50">
        <f t="shared" si="52"/>
        <v>19.129000000000016</v>
      </c>
      <c r="W246" s="50">
        <f t="shared" si="53"/>
        <v>19.277000000000015</v>
      </c>
      <c r="X246">
        <f t="shared" si="54"/>
        <v>0.54499999999999815</v>
      </c>
      <c r="Y246" s="50">
        <f t="shared" si="55"/>
        <v>0.14799999999999969</v>
      </c>
      <c r="Z246">
        <f t="shared" si="56"/>
        <v>4.9999999999998934E-3</v>
      </c>
    </row>
    <row r="247" spans="1:26">
      <c r="A247" s="4">
        <v>44362</v>
      </c>
      <c r="B247">
        <f>YEAR(data[[#This Row],[Date]])</f>
        <v>2021</v>
      </c>
      <c r="C247" s="6">
        <f t="shared" si="14"/>
        <v>0.48</v>
      </c>
      <c r="D247" s="7">
        <f t="shared" si="10"/>
        <v>0.16</v>
      </c>
      <c r="E247" s="7">
        <f t="shared" si="11"/>
        <v>0</v>
      </c>
      <c r="F247" s="20">
        <v>0.16800000000000001</v>
      </c>
      <c r="G247" s="16">
        <f>AVERAGE(0.21, 0.195)</f>
        <v>0.20250000000000001</v>
      </c>
      <c r="H247" s="7">
        <f t="shared" si="39"/>
        <v>0</v>
      </c>
      <c r="I247" s="11">
        <v>0.25</v>
      </c>
      <c r="J247" s="7">
        <v>0</v>
      </c>
      <c r="K247" s="11">
        <v>0.21</v>
      </c>
      <c r="L24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0.11864285714285715</v>
      </c>
      <c r="M24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7.9884699980476995E-2</v>
      </c>
      <c r="N247" s="36">
        <f>IF(data[[#This Row],[Weighted_Avg]]&lt;&gt;"", IFERROR(AVERAGE(M235,M223,M211), ""), "")</f>
        <v>5.5082490770735133E-2</v>
      </c>
      <c r="O247" s="14" t="b">
        <f>IF(data[[#This Row],[Date]]&gt;MAX(data[Date])-750, TRUE, FALSE)</f>
        <v>0</v>
      </c>
      <c r="P247" s="37">
        <f t="shared" si="41"/>
        <v>0.50499999999999901</v>
      </c>
      <c r="Q247" s="3">
        <v>0.26</v>
      </c>
      <c r="R247">
        <v>3.2869999999999999</v>
      </c>
      <c r="T247" s="50">
        <v>18.004999999999999</v>
      </c>
      <c r="U247">
        <v>0.99</v>
      </c>
      <c r="V247" s="50">
        <f t="shared" si="52"/>
        <v>19.278000000000016</v>
      </c>
      <c r="W247" s="50">
        <f t="shared" si="53"/>
        <v>19.426000000000016</v>
      </c>
      <c r="X247">
        <f t="shared" si="54"/>
        <v>0.54999999999999805</v>
      </c>
      <c r="Y247" s="50">
        <f t="shared" si="55"/>
        <v>0.14799999999999969</v>
      </c>
      <c r="Z247">
        <f t="shared" si="56"/>
        <v>4.9999999999998934E-3</v>
      </c>
    </row>
    <row r="248" spans="1:26">
      <c r="A248" s="4">
        <v>44392</v>
      </c>
      <c r="B248">
        <f>YEAR(data[[#This Row],[Date]])</f>
        <v>2021</v>
      </c>
      <c r="C248" s="6">
        <f t="shared" si="14"/>
        <v>0.5</v>
      </c>
      <c r="D248" s="7">
        <f t="shared" si="10"/>
        <v>0.18</v>
      </c>
      <c r="E248" s="7">
        <f t="shared" si="11"/>
        <v>0</v>
      </c>
      <c r="F248" s="20">
        <v>0.186</v>
      </c>
      <c r="G248" s="16">
        <f>AVERAGE(0.215,0.22)</f>
        <v>0.2175</v>
      </c>
      <c r="H248" s="7">
        <f t="shared" si="39"/>
        <v>0</v>
      </c>
      <c r="I248" s="11">
        <v>0.27</v>
      </c>
      <c r="J248" s="7">
        <v>0</v>
      </c>
      <c r="K248" s="11">
        <v>0.23</v>
      </c>
      <c r="L24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0.12907142857142856</v>
      </c>
      <c r="M24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8.7165967030625874E-2</v>
      </c>
      <c r="N248" s="36">
        <f>IF(data[[#This Row],[Weighted_Avg]]&lt;&gt;"", IFERROR(AVERAGE(M236,M224,M212), ""), "")</f>
        <v>5.6736197078246897E-2</v>
      </c>
      <c r="O248" s="14" t="b">
        <f>IF(data[[#This Row],[Date]]&gt;MAX(data[Date])-750, TRUE, FALSE)</f>
        <v>0</v>
      </c>
      <c r="P248" s="37">
        <f t="shared" si="41"/>
        <v>0.51499999999999879</v>
      </c>
      <c r="Q248" s="3">
        <v>0.26</v>
      </c>
      <c r="R248">
        <v>3.339</v>
      </c>
      <c r="T248" s="50">
        <v>18.309000000000001</v>
      </c>
      <c r="U248">
        <v>1.01</v>
      </c>
      <c r="V248" s="50">
        <f t="shared" si="52"/>
        <v>19.427000000000017</v>
      </c>
      <c r="W248" s="50">
        <f t="shared" si="53"/>
        <v>19.575000000000017</v>
      </c>
      <c r="X248">
        <f t="shared" si="54"/>
        <v>0.55499999999999794</v>
      </c>
      <c r="Y248" s="50">
        <f t="shared" si="55"/>
        <v>0.14799999999999969</v>
      </c>
      <c r="Z248">
        <f t="shared" si="56"/>
        <v>4.9999999999998934E-3</v>
      </c>
    </row>
    <row r="249" spans="1:26">
      <c r="A249" s="4">
        <v>44423</v>
      </c>
      <c r="B249">
        <f>YEAR(data[[#This Row],[Date]])</f>
        <v>2021</v>
      </c>
      <c r="C249" s="6">
        <f t="shared" si="14"/>
        <v>0.51</v>
      </c>
      <c r="D249" s="7">
        <f t="shared" si="10"/>
        <v>0.2</v>
      </c>
      <c r="E249" s="7">
        <f t="shared" si="11"/>
        <v>0.01</v>
      </c>
      <c r="F249" s="20">
        <v>0.19800000000000001</v>
      </c>
      <c r="G249" s="16">
        <f>AVERAGE(0.225,0.23)</f>
        <v>0.22750000000000001</v>
      </c>
      <c r="H249" s="7">
        <f t="shared" si="39"/>
        <v>0</v>
      </c>
      <c r="I249" s="11">
        <v>0.28999999999999998</v>
      </c>
      <c r="J249" s="7">
        <v>0</v>
      </c>
      <c r="K249" s="11">
        <v>0.24</v>
      </c>
      <c r="L24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0.13650000000000001</v>
      </c>
      <c r="M24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9.1414590584866035E-2</v>
      </c>
      <c r="N249" s="36">
        <f>IF(data[[#This Row],[Weighted_Avg]]&lt;&gt;"", IFERROR(AVERAGE(M237,M225,M213), ""), "")</f>
        <v>5.6185395908201319E-2</v>
      </c>
      <c r="O249" s="14" t="b">
        <f>IF(data[[#This Row],[Date]]&gt;MAX(data[Date])-750, TRUE, FALSE)</f>
        <v>0</v>
      </c>
      <c r="P249" s="37">
        <f t="shared" ref="P249:P271" si="57">AVERAGEIFS(X:X,V:V,  "&lt;="&amp;T249,W:W, "&gt;="&amp;T249)</f>
        <v>0.51499999999999879</v>
      </c>
      <c r="Q249" s="3">
        <v>0.25</v>
      </c>
      <c r="R249">
        <v>3.35</v>
      </c>
      <c r="T249" s="50">
        <v>18.294</v>
      </c>
      <c r="U249">
        <v>1.01</v>
      </c>
      <c r="V249" s="50">
        <f t="shared" si="52"/>
        <v>19.576000000000018</v>
      </c>
      <c r="W249" s="50">
        <f t="shared" si="53"/>
        <v>19.724000000000018</v>
      </c>
      <c r="X249">
        <f t="shared" si="54"/>
        <v>0.55999999999999783</v>
      </c>
      <c r="Y249" s="50">
        <f t="shared" si="55"/>
        <v>0.14799999999999969</v>
      </c>
      <c r="Z249">
        <f t="shared" si="56"/>
        <v>4.9999999999998934E-3</v>
      </c>
    </row>
    <row r="250" spans="1:26">
      <c r="A250" s="4">
        <v>44454</v>
      </c>
      <c r="B250">
        <f>YEAR(data[[#This Row],[Date]])</f>
        <v>2021</v>
      </c>
      <c r="C250" s="6">
        <f t="shared" si="14"/>
        <v>0.53</v>
      </c>
      <c r="D250" s="7">
        <f t="shared" si="10"/>
        <v>0.21</v>
      </c>
      <c r="E250" s="7">
        <f t="shared" si="11"/>
        <v>0.03</v>
      </c>
      <c r="F250" s="20">
        <v>0.21</v>
      </c>
      <c r="G250" s="16">
        <f>AVERAGE(0.235,0.23)</f>
        <v>0.23249999999999998</v>
      </c>
      <c r="H250" s="7">
        <f t="shared" si="39"/>
        <v>0</v>
      </c>
      <c r="I250" s="11">
        <v>0.3</v>
      </c>
      <c r="J250" s="7">
        <v>0</v>
      </c>
      <c r="K250" s="11">
        <v>0.25</v>
      </c>
      <c r="L250"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0.14178571428571426</v>
      </c>
      <c r="M25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9.501559241913729E-2</v>
      </c>
      <c r="N250" s="36">
        <f>IF(data[[#This Row],[Weighted_Avg]]&lt;&gt;"", IFERROR(AVERAGE(M238,M226,M214), ""), "")</f>
        <v>5.4463298192386156E-2</v>
      </c>
      <c r="O250" s="14" t="b">
        <f>IF(data[[#This Row],[Date]]&gt;MAX(data[Date])-750, TRUE, FALSE)</f>
        <v>0</v>
      </c>
      <c r="P250" s="37">
        <f t="shared" si="57"/>
        <v>0.49999999999999906</v>
      </c>
      <c r="Q250" s="3">
        <v>0.25</v>
      </c>
      <c r="R250">
        <v>3.3839999999999999</v>
      </c>
      <c r="T250" s="50">
        <v>17.826000000000001</v>
      </c>
      <c r="U250">
        <v>0.98</v>
      </c>
      <c r="V250" s="50">
        <f t="shared" ref="V250:V254" si="58">W249+0.001</f>
        <v>19.725000000000019</v>
      </c>
      <c r="W250" s="50">
        <f t="shared" ref="W250:W254" si="59">V250+Y249</f>
        <v>19.873000000000019</v>
      </c>
      <c r="X250">
        <f t="shared" ref="X250:X254" si="60">X249+Z249</f>
        <v>0.56499999999999773</v>
      </c>
      <c r="Y250" s="50">
        <f t="shared" ref="Y250:Y254" si="61">W250-V250</f>
        <v>0.14799999999999969</v>
      </c>
      <c r="Z250">
        <f t="shared" ref="Z250:Z254" si="62">X250-X249</f>
        <v>4.9999999999998934E-3</v>
      </c>
    </row>
    <row r="251" spans="1:26">
      <c r="A251" s="4">
        <v>44484</v>
      </c>
      <c r="B251">
        <f>YEAR(data[[#This Row],[Date]])</f>
        <v>2021</v>
      </c>
      <c r="C251" s="6">
        <f t="shared" si="14"/>
        <v>0.53</v>
      </c>
      <c r="D251" s="7">
        <f t="shared" si="10"/>
        <v>0.22</v>
      </c>
      <c r="E251" s="7">
        <f t="shared" si="11"/>
        <v>0.03</v>
      </c>
      <c r="F251" s="20">
        <v>0.216</v>
      </c>
      <c r="G251" s="16">
        <f>AVERAGE(0.235,0.24)</f>
        <v>0.23749999999999999</v>
      </c>
      <c r="H251" s="7">
        <f t="shared" si="39"/>
        <v>0</v>
      </c>
      <c r="I251" s="11">
        <v>0.31</v>
      </c>
      <c r="J251" s="7">
        <v>0</v>
      </c>
      <c r="K251" s="11">
        <v>0.26</v>
      </c>
      <c r="L251"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0.14621428571428571</v>
      </c>
      <c r="M25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9.8320199476070957E-2</v>
      </c>
      <c r="N251" s="36">
        <f>IF(data[[#This Row],[Weighted_Avg]]&lt;&gt;"", IFERROR(AVERAGE(M239,M227,M215), ""), "")</f>
        <v>5.4859110298180157E-2</v>
      </c>
      <c r="O251" s="14" t="b">
        <f>IF(data[[#This Row],[Date]]&gt;MAX(data[Date])-750, TRUE, FALSE)</f>
        <v>0</v>
      </c>
      <c r="P251" s="37">
        <f t="shared" si="57"/>
        <v>0.49499999999999911</v>
      </c>
      <c r="Q251" s="3">
        <v>0.25</v>
      </c>
      <c r="R251">
        <v>3.6120000000000001</v>
      </c>
      <c r="T251" s="50">
        <v>17.667000000000002</v>
      </c>
      <c r="U251">
        <v>0.97</v>
      </c>
      <c r="V251" s="50">
        <f t="shared" si="58"/>
        <v>19.87400000000002</v>
      </c>
      <c r="W251" s="50">
        <f t="shared" si="59"/>
        <v>20.02200000000002</v>
      </c>
      <c r="X251">
        <f t="shared" si="60"/>
        <v>0.56999999999999762</v>
      </c>
      <c r="Y251" s="50">
        <f t="shared" si="61"/>
        <v>0.14799999999999969</v>
      </c>
      <c r="Z251">
        <f t="shared" si="62"/>
        <v>4.9999999999998934E-3</v>
      </c>
    </row>
    <row r="252" spans="1:26">
      <c r="A252" s="4">
        <v>44515</v>
      </c>
      <c r="B252">
        <f>YEAR(data[[#This Row],[Date]])</f>
        <v>2021</v>
      </c>
      <c r="C252" s="6">
        <f t="shared" si="14"/>
        <v>0.54</v>
      </c>
      <c r="D252" s="7">
        <f t="shared" si="10"/>
        <v>0.23</v>
      </c>
      <c r="E252" s="7">
        <f t="shared" si="11"/>
        <v>0.04</v>
      </c>
      <c r="F252" s="20">
        <v>0.26400000000000001</v>
      </c>
      <c r="G252" s="16">
        <f>AVERAGE(0.26,0.305)</f>
        <v>0.28249999999999997</v>
      </c>
      <c r="H252" s="7">
        <f t="shared" si="39"/>
        <v>0</v>
      </c>
      <c r="I252" s="11">
        <v>0.32</v>
      </c>
      <c r="J252" s="7">
        <v>0</v>
      </c>
      <c r="K252" s="11">
        <v>0.26</v>
      </c>
      <c r="L252"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0.16092857142857145</v>
      </c>
      <c r="M25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0.10434424468629211</v>
      </c>
      <c r="N252" s="36">
        <f>IF(data[[#This Row],[Weighted_Avg]]&lt;&gt;"", IFERROR(AVERAGE(M240,M228,M216), ""), "")</f>
        <v>5.5629770488959236E-2</v>
      </c>
      <c r="O252" s="14" t="b">
        <f>IF(data[[#This Row],[Date]]&gt;MAX(data[Date])-750, TRUE, FALSE)</f>
        <v>0</v>
      </c>
      <c r="P252" s="37">
        <f t="shared" si="57"/>
        <v>0.49499999999999911</v>
      </c>
      <c r="Q252" s="3">
        <v>0.26</v>
      </c>
      <c r="R252">
        <v>3.7269999999999999</v>
      </c>
      <c r="T252" s="50">
        <v>17.759</v>
      </c>
      <c r="U252">
        <v>0.97</v>
      </c>
      <c r="V252" s="50">
        <f t="shared" si="58"/>
        <v>20.023000000000021</v>
      </c>
      <c r="W252" s="50">
        <f t="shared" si="59"/>
        <v>20.171000000000021</v>
      </c>
      <c r="X252">
        <f t="shared" si="60"/>
        <v>0.57499999999999751</v>
      </c>
      <c r="Y252" s="50">
        <f t="shared" si="61"/>
        <v>0.14799999999999969</v>
      </c>
      <c r="Z252">
        <f t="shared" si="62"/>
        <v>4.9999999999998934E-3</v>
      </c>
    </row>
    <row r="253" spans="1:26">
      <c r="A253" s="4">
        <v>44545</v>
      </c>
      <c r="B253">
        <f>YEAR(data[[#This Row],[Date]])</f>
        <v>2021</v>
      </c>
      <c r="C253" s="6">
        <f t="shared" si="14"/>
        <v>0.6</v>
      </c>
      <c r="D253" s="7">
        <f t="shared" ref="D253:D261" si="63">IF(R251&gt;2.5,ROUNDDOWN((R251-2.5)/0.04,0)+1,ROUNDUP((R251-2.5)/0.04,0)+1)/100</f>
        <v>0.28000000000000003</v>
      </c>
      <c r="E253" s="7">
        <f t="shared" si="11"/>
        <v>0.1</v>
      </c>
      <c r="F253" s="20">
        <v>0.318</v>
      </c>
      <c r="G253" s="16">
        <f>AVERAGE(0.31, 0.31)</f>
        <v>0.31</v>
      </c>
      <c r="H253" s="7">
        <f t="shared" si="39"/>
        <v>0</v>
      </c>
      <c r="I253" s="11">
        <v>0.37</v>
      </c>
      <c r="J253" s="7">
        <v>0</v>
      </c>
      <c r="K253" s="11">
        <v>0.33</v>
      </c>
      <c r="L253"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0.18971428571428572</v>
      </c>
      <c r="M25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0.12696186927903713</v>
      </c>
      <c r="N253" s="36">
        <f>IF(data[[#This Row],[Weighted_Avg]]&lt;&gt;"", IFERROR(AVERAGE(M241,M229,M217), ""), "")</f>
        <v>5.750150644672667E-2</v>
      </c>
      <c r="O253" s="14" t="b">
        <f>IF(data[[#This Row],[Date]]&gt;MAX(data[Date])-750, TRUE, FALSE)</f>
        <v>0</v>
      </c>
      <c r="P253" s="37">
        <f t="shared" si="57"/>
        <v>0.50499999999999901</v>
      </c>
      <c r="Q253" s="3">
        <v>0.255</v>
      </c>
      <c r="R253">
        <v>3.641</v>
      </c>
      <c r="T253" s="50">
        <v>17.959</v>
      </c>
      <c r="U253">
        <v>0.97</v>
      </c>
      <c r="V253" s="50">
        <f t="shared" si="58"/>
        <v>20.172000000000022</v>
      </c>
      <c r="W253" s="50">
        <f t="shared" si="59"/>
        <v>20.320000000000022</v>
      </c>
      <c r="X253">
        <f t="shared" si="60"/>
        <v>0.57999999999999741</v>
      </c>
      <c r="Y253" s="50">
        <f t="shared" si="61"/>
        <v>0.14799999999999969</v>
      </c>
      <c r="Z253">
        <f t="shared" si="62"/>
        <v>4.9999999999998934E-3</v>
      </c>
    </row>
    <row r="254" spans="1:26">
      <c r="A254" s="4">
        <v>44576</v>
      </c>
      <c r="B254">
        <f>YEAR(data[[#This Row],[Date]])</f>
        <v>2022</v>
      </c>
      <c r="C254" s="6">
        <f t="shared" si="14"/>
        <v>0.62</v>
      </c>
      <c r="D254" s="7">
        <f t="shared" si="63"/>
        <v>0.31</v>
      </c>
      <c r="E254" s="7">
        <f t="shared" si="11"/>
        <v>0.12</v>
      </c>
      <c r="F254" s="20">
        <v>0.34799999999999998</v>
      </c>
      <c r="G254" s="16">
        <f>AVERAGE(0.305,0.29)</f>
        <v>0.29749999999999999</v>
      </c>
      <c r="H254" s="7">
        <f t="shared" ref="H254:H293" si="64">IF(R252&gt;2, ROUNDDOWN((R252-2)/0.04, 0)+1, 0)/100</f>
        <v>0.44</v>
      </c>
      <c r="I254" s="11">
        <v>0.4</v>
      </c>
      <c r="J254" s="7">
        <v>0</v>
      </c>
      <c r="K254" s="11">
        <v>0.33</v>
      </c>
      <c r="L254"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0.27650000000000002</v>
      </c>
      <c r="M25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0.2147440999968788</v>
      </c>
      <c r="N254" s="36">
        <f>IF(data[[#This Row],[Weighted_Avg]]&lt;&gt;"", IFERROR(AVERAGE(M242,M230,M218), ""), "")</f>
        <v>5.9711304285402778E-2</v>
      </c>
      <c r="O254" s="14" t="b">
        <f>IF(data[[#This Row],[Date]]&gt;MAX(data[Date])-750, TRUE, FALSE)</f>
        <v>0</v>
      </c>
      <c r="P254" s="37">
        <f t="shared" si="57"/>
        <v>0.49999999999999906</v>
      </c>
      <c r="Q254" s="3">
        <v>0.26500000000000001</v>
      </c>
      <c r="R254">
        <v>3.7240000000000002</v>
      </c>
      <c r="T254" s="50">
        <v>17.835000000000001</v>
      </c>
      <c r="U254">
        <v>0.95</v>
      </c>
      <c r="V254" s="50">
        <f t="shared" si="58"/>
        <v>20.321000000000023</v>
      </c>
      <c r="W254" s="50">
        <f t="shared" si="59"/>
        <v>20.469000000000023</v>
      </c>
      <c r="X254">
        <f t="shared" si="60"/>
        <v>0.5849999999999973</v>
      </c>
      <c r="Y254" s="50">
        <f t="shared" si="61"/>
        <v>0.14799999999999969</v>
      </c>
      <c r="Z254">
        <f t="shared" si="62"/>
        <v>4.9999999999998934E-3</v>
      </c>
    </row>
    <row r="255" spans="1:26">
      <c r="A255" s="4">
        <v>44607</v>
      </c>
      <c r="B255">
        <f>YEAR(data[[#This Row],[Date]])</f>
        <v>2022</v>
      </c>
      <c r="C255" s="6">
        <f t="shared" si="14"/>
        <v>0.6</v>
      </c>
      <c r="D255" s="7">
        <f t="shared" si="63"/>
        <v>0.28999999999999998</v>
      </c>
      <c r="E255" s="7">
        <f t="shared" si="11"/>
        <v>0.1</v>
      </c>
      <c r="F255" s="20">
        <v>0.32400000000000001</v>
      </c>
      <c r="G255" s="16">
        <f>AVERAGE(0.29,0.315)</f>
        <v>0.30249999999999999</v>
      </c>
      <c r="H255" s="7">
        <f t="shared" si="64"/>
        <v>0.42</v>
      </c>
      <c r="I255" s="11">
        <v>0.38</v>
      </c>
      <c r="J255" s="7">
        <v>0</v>
      </c>
      <c r="K255" s="11">
        <v>0.31</v>
      </c>
      <c r="L255"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0.26235714285714284</v>
      </c>
      <c r="M25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0.19836545762373808</v>
      </c>
      <c r="N255" s="36">
        <f>IF(data[[#This Row],[Weighted_Avg]]&lt;&gt;"", IFERROR(AVERAGE(M243,M231,M219), ""), "")</f>
        <v>5.9011593441542505E-2</v>
      </c>
      <c r="O255" s="14" t="b">
        <f>IF(data[[#This Row],[Date]]&gt;MAX(data[Date])-750, TRUE, FALSE)</f>
        <v>0</v>
      </c>
      <c r="P255" s="37">
        <f t="shared" si="57"/>
        <v>0.5099999999999989</v>
      </c>
      <c r="Q255" s="3">
        <v>0.27500000000000002</v>
      </c>
      <c r="R255">
        <v>4.032</v>
      </c>
      <c r="T255" s="50">
        <v>18.096</v>
      </c>
      <c r="U255">
        <v>0.96</v>
      </c>
      <c r="V255" s="50">
        <f t="shared" ref="V255:V259" si="65">W254+0.001</f>
        <v>20.470000000000024</v>
      </c>
      <c r="W255" s="50">
        <f t="shared" ref="W255:W259" si="66">V255+Y254</f>
        <v>20.618000000000023</v>
      </c>
      <c r="X255">
        <f t="shared" ref="X255:X259" si="67">X254+Z254</f>
        <v>0.58999999999999719</v>
      </c>
      <c r="Y255" s="50">
        <f t="shared" ref="Y255:Y259" si="68">W255-V255</f>
        <v>0.14799999999999969</v>
      </c>
      <c r="Z255">
        <f t="shared" ref="Z255:Z259" si="69">X255-X254</f>
        <v>4.9999999999998934E-3</v>
      </c>
    </row>
    <row r="256" spans="1:26">
      <c r="A256" s="4">
        <v>44635</v>
      </c>
      <c r="B256">
        <f>YEAR(data[[#This Row],[Date]])</f>
        <v>2022</v>
      </c>
      <c r="C256" s="6">
        <f t="shared" si="14"/>
        <v>0.62</v>
      </c>
      <c r="D256" s="7">
        <f t="shared" si="63"/>
        <v>0.31</v>
      </c>
      <c r="E256" s="7">
        <f t="shared" si="11"/>
        <v>0.12</v>
      </c>
      <c r="F256" s="20">
        <v>0.37</v>
      </c>
      <c r="G256" s="16">
        <f>AVERAGE(0.345,0.375)</f>
        <v>0.36</v>
      </c>
      <c r="H256" s="7">
        <f t="shared" si="64"/>
        <v>0.44</v>
      </c>
      <c r="I256" s="11">
        <v>0.4</v>
      </c>
      <c r="J256" s="7">
        <v>0</v>
      </c>
      <c r="K256" s="11">
        <v>0.33</v>
      </c>
      <c r="L256"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0.28857142857142859</v>
      </c>
      <c r="M25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0.22087669695744749</v>
      </c>
      <c r="N256" s="36">
        <f>IF(data[[#This Row],[Weighted_Avg]]&lt;&gt;"", IFERROR(AVERAGE(M244,M232,M220), ""), "")</f>
        <v>5.7355520681942392E-2</v>
      </c>
      <c r="O256" s="14" t="b">
        <f>IF(data[[#This Row],[Date]]&gt;MAX(data[Date])-750, TRUE, FALSE)</f>
        <v>0</v>
      </c>
      <c r="P256" s="37">
        <f t="shared" si="57"/>
        <v>0.52999999999999847</v>
      </c>
      <c r="Q256" s="3">
        <v>0.28000000000000003</v>
      </c>
      <c r="R256">
        <v>5.1050000000000004</v>
      </c>
      <c r="T256" s="50">
        <v>18.716999999999999</v>
      </c>
      <c r="U256">
        <v>1.02</v>
      </c>
      <c r="V256" s="50">
        <f t="shared" si="65"/>
        <v>20.619000000000025</v>
      </c>
      <c r="W256" s="50">
        <f t="shared" si="66"/>
        <v>20.767000000000024</v>
      </c>
      <c r="X256">
        <f t="shared" si="67"/>
        <v>0.59499999999999709</v>
      </c>
      <c r="Y256" s="50">
        <f t="shared" si="68"/>
        <v>0.14799999999999969</v>
      </c>
      <c r="Z256">
        <f t="shared" si="69"/>
        <v>4.9999999999998934E-3</v>
      </c>
    </row>
    <row r="257" spans="1:26">
      <c r="A257" s="4">
        <v>44666</v>
      </c>
      <c r="B257">
        <f>YEAR(data[[#This Row],[Date]])</f>
        <v>2022</v>
      </c>
      <c r="C257" s="6">
        <f t="shared" si="14"/>
        <v>0.7</v>
      </c>
      <c r="D257" s="7">
        <f t="shared" si="63"/>
        <v>0.39</v>
      </c>
      <c r="E257" s="7">
        <f t="shared" si="11"/>
        <v>0.2</v>
      </c>
      <c r="F257" s="20">
        <v>0.45450000000000002</v>
      </c>
      <c r="G257" s="16">
        <f>AVERAGE(0.465,0.615)</f>
        <v>0.54</v>
      </c>
      <c r="H257" s="7">
        <f t="shared" si="64"/>
        <v>0.51</v>
      </c>
      <c r="I257" s="11">
        <v>0.48</v>
      </c>
      <c r="J257" s="7">
        <v>0</v>
      </c>
      <c r="K257" s="11">
        <v>0.39</v>
      </c>
      <c r="L257"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0.36778571428571427</v>
      </c>
      <c r="M25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0.29557286268813743</v>
      </c>
      <c r="N257" s="36">
        <f>IF(data[[#This Row],[Weighted_Avg]]&lt;&gt;"", IFERROR(AVERAGE(M245,M233,M221), ""), "")</f>
        <v>6.0049133296257363E-2</v>
      </c>
      <c r="O257" s="14" t="b">
        <f>IF(data[[#This Row],[Date]]&gt;MAX(data[Date])-750, TRUE, FALSE)</f>
        <v>0</v>
      </c>
      <c r="P257" s="37">
        <f t="shared" si="57"/>
        <v>0.52499999999999858</v>
      </c>
      <c r="Q257" s="3">
        <v>0.28999999999999998</v>
      </c>
      <c r="R257" s="45">
        <v>5.12</v>
      </c>
      <c r="T257" s="50">
        <v>18.574000000000002</v>
      </c>
      <c r="U257">
        <v>1.01</v>
      </c>
      <c r="V257" s="50">
        <f t="shared" si="65"/>
        <v>20.768000000000026</v>
      </c>
      <c r="W257" s="50">
        <f t="shared" si="66"/>
        <v>20.916000000000025</v>
      </c>
      <c r="X257">
        <f t="shared" si="67"/>
        <v>0.59999999999999698</v>
      </c>
      <c r="Y257" s="50">
        <f t="shared" si="68"/>
        <v>0.14799999999999969</v>
      </c>
      <c r="Z257">
        <f t="shared" si="69"/>
        <v>4.9999999999998934E-3</v>
      </c>
    </row>
    <row r="258" spans="1:26">
      <c r="A258" s="4">
        <v>44696</v>
      </c>
      <c r="B258">
        <f>YEAR(data[[#This Row],[Date]])</f>
        <v>2022</v>
      </c>
      <c r="C258" s="6">
        <f t="shared" si="14"/>
        <v>0.97</v>
      </c>
      <c r="D258" s="7">
        <f t="shared" si="63"/>
        <v>0.66</v>
      </c>
      <c r="E258" s="7">
        <f t="shared" si="11"/>
        <v>0.47</v>
      </c>
      <c r="F258" s="20">
        <v>0.73399999999999999</v>
      </c>
      <c r="G258" s="16">
        <f>AVERAGE(0.61,0.6)</f>
        <v>0.60499999999999998</v>
      </c>
      <c r="H258" s="7">
        <f t="shared" si="64"/>
        <v>0.78</v>
      </c>
      <c r="I258" s="11">
        <v>0.75</v>
      </c>
      <c r="J258" s="7">
        <v>0</v>
      </c>
      <c r="K258" s="11">
        <v>0.61</v>
      </c>
      <c r="L258"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0.56414285714285717</v>
      </c>
      <c r="M25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0.51258372291129495</v>
      </c>
      <c r="N258" s="36">
        <f>IF(data[[#This Row],[Weighted_Avg]]&lt;&gt;"", IFERROR(AVERAGE(M246,M234,M222), ""), "")</f>
        <v>6.4046671462491975E-2</v>
      </c>
      <c r="O258" s="14" t="b">
        <f>IF(data[[#This Row],[Date]]&gt;MAX(data[Date])-750, TRUE, FALSE)</f>
        <v>0</v>
      </c>
      <c r="P258" s="37">
        <f t="shared" si="57"/>
        <v>0.54499999999999815</v>
      </c>
      <c r="Q258" s="54">
        <f>AVERAGE(Q257,Q259)</f>
        <v>0.29749999999999999</v>
      </c>
      <c r="R258" s="45">
        <v>5.5709999999999997</v>
      </c>
      <c r="T258" s="50">
        <v>19.190999999999999</v>
      </c>
      <c r="U258">
        <v>1.04</v>
      </c>
      <c r="V258" s="50">
        <f t="shared" si="65"/>
        <v>20.917000000000026</v>
      </c>
      <c r="W258" s="50">
        <f t="shared" si="66"/>
        <v>21.065000000000026</v>
      </c>
      <c r="X258">
        <f t="shared" si="67"/>
        <v>0.60499999999999687</v>
      </c>
      <c r="Y258" s="50">
        <f t="shared" si="68"/>
        <v>0.14799999999999969</v>
      </c>
      <c r="Z258">
        <f t="shared" si="69"/>
        <v>4.9999999999998934E-3</v>
      </c>
    </row>
    <row r="259" spans="1:26">
      <c r="A259" s="4">
        <v>44727</v>
      </c>
      <c r="B259">
        <f>YEAR(data[[#This Row],[Date]])</f>
        <v>2022</v>
      </c>
      <c r="C259" s="6">
        <f t="shared" si="14"/>
        <v>0.97</v>
      </c>
      <c r="D259" s="7">
        <f t="shared" si="63"/>
        <v>0.66</v>
      </c>
      <c r="E259" s="7">
        <f t="shared" si="11"/>
        <v>0.47</v>
      </c>
      <c r="F259" s="20">
        <v>0.73399999999999999</v>
      </c>
      <c r="G259" s="16">
        <f>AVERAGE(0.695,0.7)</f>
        <v>0.69750000000000001</v>
      </c>
      <c r="H259" s="7">
        <f t="shared" si="64"/>
        <v>0.79</v>
      </c>
      <c r="I259" s="11">
        <v>0.75</v>
      </c>
      <c r="J259" s="7">
        <v>0</v>
      </c>
      <c r="K259" s="11">
        <v>0.61</v>
      </c>
      <c r="L259"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0.57878571428571424</v>
      </c>
      <c r="M25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0.5202985446113394</v>
      </c>
      <c r="N259" s="36">
        <f>IF(data[[#This Row],[Weighted_Avg]]&lt;&gt;"", IFERROR(AVERAGE(M247,M235,M223), ""), "")</f>
        <v>5.9050745954823049E-2</v>
      </c>
      <c r="O259" s="14" t="b">
        <f>IF(data[[#This Row],[Date]]&gt;MAX(data[Date])-750, TRUE, FALSE)</f>
        <v>0</v>
      </c>
      <c r="P259" s="37">
        <f t="shared" si="57"/>
        <v>0.55999999999999783</v>
      </c>
      <c r="Q259" s="3">
        <v>0.30499999999999999</v>
      </c>
      <c r="R259" s="45">
        <v>5.7539999999999996</v>
      </c>
      <c r="T259" s="50">
        <v>19.646000000000001</v>
      </c>
      <c r="U259">
        <v>1.1000000000000001</v>
      </c>
      <c r="V259" s="50">
        <f t="shared" si="65"/>
        <v>21.066000000000027</v>
      </c>
      <c r="W259" s="50">
        <f t="shared" si="66"/>
        <v>21.214000000000027</v>
      </c>
      <c r="X259">
        <f t="shared" si="67"/>
        <v>0.60999999999999677</v>
      </c>
      <c r="Y259" s="50">
        <f t="shared" si="68"/>
        <v>0.14799999999999969</v>
      </c>
      <c r="Z259">
        <f t="shared" si="69"/>
        <v>4.9999999999998934E-3</v>
      </c>
    </row>
    <row r="260" spans="1:26">
      <c r="A260" s="4">
        <v>44757</v>
      </c>
      <c r="B260">
        <f>YEAR(data[[#This Row],[Date]])</f>
        <v>2022</v>
      </c>
      <c r="C260" s="6">
        <f t="shared" si="14"/>
        <v>1.0900000000000001</v>
      </c>
      <c r="D260" s="7">
        <f t="shared" si="63"/>
        <v>0.77</v>
      </c>
      <c r="E260" s="7">
        <f t="shared" ref="E260:E261" si="70">IF(R258&gt;3.25, ROUNDDOWN((R258-3.25)/0.04, 0)+1, 0)/100</f>
        <v>0.59</v>
      </c>
      <c r="F260" s="20">
        <v>0.85099999999999998</v>
      </c>
      <c r="G260" s="16">
        <f>AVERAGE(0.705, 0.725)</f>
        <v>0.71499999999999997</v>
      </c>
      <c r="H260" s="7">
        <f t="shared" si="64"/>
        <v>0.9</v>
      </c>
      <c r="I260" s="11">
        <v>0.86</v>
      </c>
      <c r="J260" s="7">
        <v>0</v>
      </c>
      <c r="K260" s="11">
        <v>0.7</v>
      </c>
      <c r="L260"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0.65942857142857136</v>
      </c>
      <c r="M26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0.61265410805868759</v>
      </c>
      <c r="N260" s="36">
        <f>IF(data[[#This Row],[Weighted_Avg]]&lt;&gt;"", IFERROR(AVERAGE(M248,M236,M224), ""), "")</f>
        <v>6.0075552906005379E-2</v>
      </c>
      <c r="O260" s="14" t="b">
        <f>IF(data[[#This Row],[Date]]&gt;MAX(data[Date])-750, TRUE, FALSE)</f>
        <v>0</v>
      </c>
      <c r="P260" s="37">
        <f t="shared" si="57"/>
        <v>0.56499999999999773</v>
      </c>
      <c r="Q260" s="3">
        <v>0.31</v>
      </c>
      <c r="R260" s="45">
        <v>5.4859999999999998</v>
      </c>
      <c r="T260" s="50">
        <v>19.86</v>
      </c>
      <c r="U260">
        <v>1.1100000000000001</v>
      </c>
      <c r="V260" s="50">
        <f t="shared" ref="V260:V269" si="71">W259+0.001</f>
        <v>21.215000000000028</v>
      </c>
      <c r="W260" s="50">
        <f t="shared" ref="W260:W269" si="72">V260+Y259</f>
        <v>21.363000000000028</v>
      </c>
      <c r="X260">
        <f t="shared" ref="X260:X269" si="73">X259+Z259</f>
        <v>0.61499999999999666</v>
      </c>
      <c r="Y260" s="50">
        <f t="shared" ref="Y260:Y269" si="74">W260-V260</f>
        <v>0.14799999999999969</v>
      </c>
      <c r="Z260">
        <f t="shared" ref="Z260:Z269" si="75">X260-X259</f>
        <v>4.9999999999998934E-3</v>
      </c>
    </row>
    <row r="261" spans="1:26">
      <c r="A261" s="4">
        <v>44788</v>
      </c>
      <c r="B261">
        <f>YEAR(data[[#This Row],[Date]])</f>
        <v>2022</v>
      </c>
      <c r="C261" s="6">
        <f t="shared" si="14"/>
        <v>1.1299999999999999</v>
      </c>
      <c r="D261" s="7">
        <f t="shared" si="63"/>
        <v>0.82</v>
      </c>
      <c r="E261" s="7">
        <f t="shared" si="70"/>
        <v>0.63</v>
      </c>
      <c r="F261" s="20">
        <v>0.90300000000000002</v>
      </c>
      <c r="G261" s="16">
        <f>AVERAGE(0.65,0.715)</f>
        <v>0.6825</v>
      </c>
      <c r="H261" s="7">
        <f t="shared" si="64"/>
        <v>0.94</v>
      </c>
      <c r="I261" s="11">
        <v>0.91</v>
      </c>
      <c r="J261" s="7">
        <v>0</v>
      </c>
      <c r="K261" s="11">
        <v>0.74</v>
      </c>
      <c r="L261" s="21">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0.6865</v>
      </c>
      <c r="M26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0.6442653130592928</v>
      </c>
      <c r="N261" s="36">
        <f>IF(data[[#This Row],[Weighted_Avg]]&lt;&gt;"", IFERROR(AVERAGE(M249,M237,M225), ""), "")</f>
        <v>6.0455171219621594E-2</v>
      </c>
      <c r="O261" s="14" t="b">
        <f>IF(data[[#This Row],[Date]]&gt;MAX(data[Date])-750, TRUE, FALSE)</f>
        <v>0</v>
      </c>
      <c r="P261" s="37">
        <f t="shared" si="57"/>
        <v>0.56999999999999762</v>
      </c>
      <c r="Q261" s="3">
        <v>0.315</v>
      </c>
      <c r="R261" s="45">
        <v>5.0129999999999999</v>
      </c>
      <c r="T261" s="50">
        <v>19.966000000000001</v>
      </c>
      <c r="U261">
        <v>1.1299999999999999</v>
      </c>
      <c r="V261" s="50">
        <f t="shared" si="71"/>
        <v>21.364000000000029</v>
      </c>
      <c r="W261" s="50">
        <f t="shared" si="72"/>
        <v>21.512000000000029</v>
      </c>
      <c r="X261">
        <f t="shared" si="73"/>
        <v>0.61999999999999655</v>
      </c>
      <c r="Y261" s="50">
        <f t="shared" si="74"/>
        <v>0.14799999999999969</v>
      </c>
      <c r="Z261">
        <f t="shared" si="75"/>
        <v>4.9999999999998934E-3</v>
      </c>
    </row>
    <row r="262" spans="1:26">
      <c r="A262" s="4">
        <v>44819</v>
      </c>
      <c r="B262">
        <f>YEAR(data[[#This Row],[Date]])</f>
        <v>2022</v>
      </c>
      <c r="C262" s="6">
        <f>IF(R260&gt;1.25, ROUNDDOWN((R260-1.25)/0.04, 0)+1, 0)/100</f>
        <v>1.06</v>
      </c>
      <c r="D262" s="7">
        <f>IF(R260&gt;2.5,ROUNDDOWN((R260-2.5)/0.04,0)+1,ROUNDUP((R260-2.5)/0.04,0)+1)/100</f>
        <v>0.75</v>
      </c>
      <c r="E262" s="7">
        <f>IF(R260&gt;3.25, ROUNDDOWN((R260-3.25)/0.04, 0)+1, 0)/100</f>
        <v>0.56000000000000005</v>
      </c>
      <c r="F262" s="20">
        <v>0.83150000000000002</v>
      </c>
      <c r="G262" s="16">
        <f>AVERAGE(0.59,0.555)</f>
        <v>0.57250000000000001</v>
      </c>
      <c r="H262" s="7">
        <f t="shared" si="64"/>
        <v>0.88</v>
      </c>
      <c r="I262" s="7">
        <v>0.84</v>
      </c>
      <c r="J262" s="7">
        <v>0</v>
      </c>
      <c r="K262" s="7">
        <v>0.68</v>
      </c>
      <c r="L26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0.62342857142857144</v>
      </c>
      <c r="M26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0.58105153962276213</v>
      </c>
      <c r="N262" s="36">
        <f>IF(data[[#This Row],[Weighted_Avg]]&lt;&gt;"", IFERROR(AVERAGE(M250,M238,M226), ""), "")</f>
        <v>6.0671358538212317E-2</v>
      </c>
      <c r="O262" s="14" t="b">
        <f>IF(data[[#This Row],[Date]]&gt;MAX(data[Date])-750, TRUE, FALSE)</f>
        <v>0</v>
      </c>
      <c r="P262" s="37">
        <f t="shared" si="57"/>
        <v>0.57499999999999751</v>
      </c>
      <c r="Q262" s="3">
        <v>0.32</v>
      </c>
      <c r="R262">
        <v>4.9930000000000003</v>
      </c>
      <c r="T262" s="50">
        <v>20.12</v>
      </c>
      <c r="U262">
        <v>1.1100000000000001</v>
      </c>
      <c r="V262" s="50">
        <f t="shared" si="71"/>
        <v>21.51300000000003</v>
      </c>
      <c r="W262" s="50">
        <f t="shared" si="72"/>
        <v>21.66100000000003</v>
      </c>
      <c r="X262">
        <f t="shared" si="73"/>
        <v>0.62499999999999645</v>
      </c>
      <c r="Y262" s="50">
        <f t="shared" si="74"/>
        <v>0.14799999999999969</v>
      </c>
      <c r="Z262">
        <f t="shared" si="75"/>
        <v>4.9999999999998934E-3</v>
      </c>
    </row>
    <row r="263" spans="1:26">
      <c r="A263" s="4">
        <v>44849</v>
      </c>
      <c r="B263">
        <f>YEAR(data[[#This Row],[Date]])</f>
        <v>2022</v>
      </c>
      <c r="C263" s="6">
        <f>IF(R261&gt;1.25, ROUNDDOWN((R261-1.25)/0.04, 0)+1, 0)/100</f>
        <v>0.95</v>
      </c>
      <c r="D263" s="7">
        <f>IF(R261&gt;2.5,ROUNDDOWN((R261-2.5)/0.04,0)+1,ROUNDUP((R261-2.5)/0.04,0)+1)/100</f>
        <v>0.63</v>
      </c>
      <c r="E263" s="7">
        <f>IF(R261&gt;3.25, ROUNDDOWN((R261-3.25)/0.04, 0)+1, 0)/100</f>
        <v>0.45</v>
      </c>
      <c r="F263" s="20">
        <v>0.70799999999999996</v>
      </c>
      <c r="G263" s="16">
        <f>AVERAGE(0.595,0.575)</f>
        <v>0.58499999999999996</v>
      </c>
      <c r="H263" s="7">
        <f t="shared" si="64"/>
        <v>0.76</v>
      </c>
      <c r="I263" s="7">
        <v>0.72</v>
      </c>
      <c r="J263" s="7">
        <v>0</v>
      </c>
      <c r="K263" s="7">
        <v>0.59</v>
      </c>
      <c r="L26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0.54471428571428571</v>
      </c>
      <c r="M26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0.4938815340426812</v>
      </c>
      <c r="N263" s="36">
        <f>IF(data[[#This Row],[Weighted_Avg]]&lt;&gt;"", IFERROR(AVERAGE(M251,M239,M227), ""), "")</f>
        <v>6.1462666590778349E-2</v>
      </c>
      <c r="O263" s="14" t="b">
        <f>IF(data[[#This Row],[Date]]&gt;MAX(data[Date])-750, TRUE, FALSE)</f>
        <v>0</v>
      </c>
      <c r="P263" s="37">
        <f t="shared" si="57"/>
        <v>0.57999999999999741</v>
      </c>
      <c r="Q263" s="3">
        <v>0.32500000000000001</v>
      </c>
      <c r="R263">
        <v>5.2110000000000003</v>
      </c>
      <c r="T263" s="50">
        <v>20.256</v>
      </c>
      <c r="U263">
        <v>1.1399999999999999</v>
      </c>
      <c r="V263" s="50">
        <f t="shared" si="71"/>
        <v>21.662000000000031</v>
      </c>
      <c r="W263" s="50">
        <f t="shared" si="72"/>
        <v>21.810000000000031</v>
      </c>
      <c r="X263">
        <f t="shared" si="73"/>
        <v>0.62999999999999634</v>
      </c>
      <c r="Y263" s="50">
        <f t="shared" si="74"/>
        <v>0.14799999999999969</v>
      </c>
      <c r="Z263">
        <f t="shared" si="75"/>
        <v>4.9999999999998934E-3</v>
      </c>
    </row>
    <row r="264" spans="1:26">
      <c r="A264" s="4">
        <v>44880</v>
      </c>
      <c r="B264">
        <f>YEAR(data[[#This Row],[Date]])</f>
        <v>2022</v>
      </c>
      <c r="C264" s="6">
        <f t="shared" ref="C264" si="76">IF(R262&gt;1.25, ROUNDDOWN((R262-1.25)/0.04, 0)+1, 0)/100</f>
        <v>0.94</v>
      </c>
      <c r="D264" s="7">
        <f t="shared" ref="D264" si="77">IF(R262&gt;2.5,ROUNDDOWN((R262-2.5)/0.04,0)+1,ROUNDUP((R262-2.5)/0.04,0)+1)/100</f>
        <v>0.63</v>
      </c>
      <c r="E264" s="7">
        <f t="shared" ref="E264" si="78">IF(R262&gt;3.25, ROUNDDOWN((R262-3.25)/0.04, 0)+1, 0)/100</f>
        <v>0.44</v>
      </c>
      <c r="F264" s="20">
        <v>0.70150000000000001</v>
      </c>
      <c r="G264" s="16">
        <f>AVERAGE(0.645,0.58)</f>
        <v>0.61250000000000004</v>
      </c>
      <c r="H264" s="7">
        <f t="shared" si="64"/>
        <v>0.75</v>
      </c>
      <c r="I264" s="7">
        <v>0.72</v>
      </c>
      <c r="J264" s="7">
        <v>0</v>
      </c>
      <c r="K264" s="7">
        <v>0.57999999999999996</v>
      </c>
      <c r="L26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0.54342857142857148</v>
      </c>
      <c r="M26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0.4882384632015353</v>
      </c>
      <c r="N264" s="36">
        <f>IF(data[[#This Row],[Weighted_Avg]]&lt;&gt;"", IFERROR(AVERAGE(M252,M240,M228), ""), "")</f>
        <v>6.3356565170077858E-2</v>
      </c>
      <c r="O264" s="14" t="b">
        <f>IF(data[[#This Row],[Date]]&gt;MAX(data[Date])-750, TRUE, FALSE)</f>
        <v>0</v>
      </c>
      <c r="P264" s="37">
        <f t="shared" si="57"/>
        <v>0.5849999999999973</v>
      </c>
      <c r="Q264" s="3">
        <v>0.32500000000000001</v>
      </c>
      <c r="R264">
        <v>5.2549999999999999</v>
      </c>
      <c r="T264" s="50">
        <v>20.413</v>
      </c>
      <c r="U264">
        <v>1.1499999999999999</v>
      </c>
      <c r="V264" s="50">
        <f t="shared" si="71"/>
        <v>21.811000000000032</v>
      </c>
      <c r="W264" s="50">
        <f t="shared" si="72"/>
        <v>21.959000000000032</v>
      </c>
      <c r="X264">
        <f t="shared" si="73"/>
        <v>0.63499999999999623</v>
      </c>
      <c r="Y264" s="50">
        <f t="shared" si="74"/>
        <v>0.14799999999999969</v>
      </c>
      <c r="Z264">
        <f t="shared" si="75"/>
        <v>4.9999999999998934E-3</v>
      </c>
    </row>
    <row r="265" spans="1:26">
      <c r="A265" s="4">
        <v>44910</v>
      </c>
      <c r="B265">
        <f>YEAR(data[[#This Row],[Date]])</f>
        <v>2022</v>
      </c>
      <c r="C265" s="6">
        <f>IF(R263&gt;1.25, ROUNDDOWN((R263-1.25)/0.04, 0)+1, 0)/100</f>
        <v>1</v>
      </c>
      <c r="D265" s="7">
        <f>IF(R263&gt;2.5,ROUNDDOWN((R263-2.5)/0.04,0)+1,ROUNDUP((R263-2.5)/0.04,0)+1)/100</f>
        <v>0.68</v>
      </c>
      <c r="E265" s="7">
        <f>IF(R263&gt;3.25, ROUNDDOWN((R263-3.25)/0.04, 0)+1, 0)/100</f>
        <v>0.5</v>
      </c>
      <c r="F265" s="20">
        <v>0.76</v>
      </c>
      <c r="G265" s="16">
        <f>AVERAGE(0.645,0.63)</f>
        <v>0.63749999999999996</v>
      </c>
      <c r="H265" s="7">
        <f t="shared" si="64"/>
        <v>0.81</v>
      </c>
      <c r="I265" s="7">
        <v>0.77</v>
      </c>
      <c r="J265" s="7">
        <v>0</v>
      </c>
      <c r="K265" s="7">
        <v>0.63</v>
      </c>
      <c r="L26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0.58678571428571424</v>
      </c>
      <c r="M26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0.53698061473765624</v>
      </c>
      <c r="N265" s="36">
        <f>IF(data[[#This Row],[Weighted_Avg]]&lt;&gt;"", IFERROR(AVERAGE(M253,M241,M229), ""), "")</f>
        <v>7.1271208043109033E-2</v>
      </c>
      <c r="O265" s="14" t="b">
        <f>IF(data[[#This Row],[Date]]&gt;MAX(data[Date])-750, TRUE, FALSE)</f>
        <v>0</v>
      </c>
      <c r="P265" s="37">
        <f t="shared" si="57"/>
        <v>0.58999999999999719</v>
      </c>
      <c r="Q265" s="3">
        <v>0.33</v>
      </c>
      <c r="R265">
        <v>4.7140000000000004</v>
      </c>
      <c r="T265" s="50">
        <v>20.481000000000002</v>
      </c>
      <c r="U265">
        <v>1.1599999999999999</v>
      </c>
      <c r="V265" s="50">
        <f t="shared" si="71"/>
        <v>21.960000000000033</v>
      </c>
      <c r="W265" s="50">
        <f t="shared" si="72"/>
        <v>22.108000000000033</v>
      </c>
      <c r="X265">
        <f t="shared" si="73"/>
        <v>0.63999999999999613</v>
      </c>
      <c r="Y265" s="50">
        <f t="shared" si="74"/>
        <v>0.14799999999999969</v>
      </c>
      <c r="Z265">
        <f t="shared" si="75"/>
        <v>4.9999999999998934E-3</v>
      </c>
    </row>
    <row r="266" spans="1:26">
      <c r="A266" s="4">
        <v>44941</v>
      </c>
      <c r="B266">
        <f>YEAR(data[[#This Row],[Date]])</f>
        <v>2023</v>
      </c>
      <c r="C266" s="6">
        <f t="shared" ref="C266" si="79">IF(R264&gt;1.25, ROUNDDOWN((R264-1.25)/0.04, 0)+1, 0)/100</f>
        <v>1.01</v>
      </c>
      <c r="D266" s="7">
        <f t="shared" ref="D266" si="80">IF(R264&gt;2.5,ROUNDDOWN((R264-2.5)/0.04,0)+1,ROUNDUP((R264-2.5)/0.04,0)+1)/100</f>
        <v>0.69</v>
      </c>
      <c r="E266" s="7">
        <f t="shared" ref="E266" si="81">IF(R264&gt;3.25, ROUNDDOWN((R264-3.25)/0.04, 0)+1, 0)/100</f>
        <v>0.51</v>
      </c>
      <c r="F266" s="20">
        <v>0.77300000000000002</v>
      </c>
      <c r="G266" s="16">
        <f>AVERAGE(0.585,0.51)</f>
        <v>0.54749999999999999</v>
      </c>
      <c r="H266" s="7">
        <f t="shared" si="64"/>
        <v>0.82</v>
      </c>
      <c r="I266" s="7">
        <v>0.78</v>
      </c>
      <c r="J266" s="7">
        <v>0</v>
      </c>
      <c r="K266" s="7">
        <v>0.64</v>
      </c>
      <c r="L26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0.58149999999999991</v>
      </c>
      <c r="M26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0.53614631692829873</v>
      </c>
      <c r="N266" s="36">
        <f>IF(data[[#This Row],[Weighted_Avg]]&lt;&gt;"", IFERROR(AVERAGE(M254,M242,M230), ""), "")</f>
        <v>0.10327112416161494</v>
      </c>
      <c r="O266" s="14" t="b">
        <f>IF(data[[#This Row],[Date]]&gt;MAX(data[Date])-750, TRUE, FALSE)</f>
        <v>0</v>
      </c>
      <c r="P266" s="37">
        <f t="shared" si="57"/>
        <v>0.58999999999999719</v>
      </c>
      <c r="Q266" s="3">
        <v>0.33</v>
      </c>
      <c r="R266">
        <v>4.5759999999999996</v>
      </c>
      <c r="T266" s="50">
        <v>20.488</v>
      </c>
      <c r="U266">
        <v>1.2</v>
      </c>
      <c r="V266" s="50">
        <f t="shared" si="71"/>
        <v>22.109000000000034</v>
      </c>
      <c r="W266" s="50">
        <f t="shared" si="72"/>
        <v>22.257000000000033</v>
      </c>
      <c r="X266">
        <f t="shared" si="73"/>
        <v>0.64499999999999602</v>
      </c>
      <c r="Y266" s="50">
        <f t="shared" si="74"/>
        <v>0.14799999999999969</v>
      </c>
      <c r="Z266">
        <f t="shared" si="75"/>
        <v>4.9999999999998934E-3</v>
      </c>
    </row>
    <row r="267" spans="1:26">
      <c r="A267" s="4">
        <v>44972</v>
      </c>
      <c r="B267">
        <f>YEAR(data[[#This Row],[Date]])</f>
        <v>2023</v>
      </c>
      <c r="C267" s="6">
        <f t="shared" ref="C267:C270" si="82">IF(R265&gt;1.25, ROUNDDOWN((R265-1.25)/0.04, 0)+1, 0)/100</f>
        <v>0.87</v>
      </c>
      <c r="D267" s="7">
        <f t="shared" ref="D267:D270" si="83">IF(R265&gt;2.5,ROUNDDOWN((R265-2.5)/0.04,0)+1,ROUNDUP((R265-2.5)/0.04,0)+1)/100</f>
        <v>0.56000000000000005</v>
      </c>
      <c r="E267" s="7">
        <f t="shared" ref="E267:E270" si="84">IF(R265&gt;3.25, ROUNDDOWN((R265-3.25)/0.04, 0)+1, 0)/100</f>
        <v>0.37</v>
      </c>
      <c r="F267" s="20">
        <v>0.63</v>
      </c>
      <c r="G267" s="16">
        <f>AVERAGE(0.488,0.485)</f>
        <v>0.48649999999999999</v>
      </c>
      <c r="H267" s="7">
        <f t="shared" si="64"/>
        <v>0.68</v>
      </c>
      <c r="I267" s="7">
        <v>0.65</v>
      </c>
      <c r="J267" s="7">
        <v>0</v>
      </c>
      <c r="K267" s="7">
        <v>0.53</v>
      </c>
      <c r="L26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0.47807142857142854</v>
      </c>
      <c r="M26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0.42423664955451845</v>
      </c>
      <c r="N267" s="36">
        <f>IF(data[[#This Row],[Weighted_Avg]]&lt;&gt;"", IFERROR(AVERAGE(M255,M243,M231), ""), "")</f>
        <v>0.10160849915743003</v>
      </c>
      <c r="O267" s="14" t="b">
        <f>IF(data[[#This Row],[Date]]&gt;MAX(data[Date])-750, TRUE, FALSE)</f>
        <v>0</v>
      </c>
      <c r="P267" s="37">
        <f t="shared" si="57"/>
        <v>0.56999999999999762</v>
      </c>
      <c r="Q267" s="3">
        <v>0.33</v>
      </c>
      <c r="R267">
        <v>4.4130000000000003</v>
      </c>
      <c r="T267" s="50">
        <v>20.010000000000002</v>
      </c>
      <c r="U267">
        <v>1.1499999999999999</v>
      </c>
      <c r="V267" s="50">
        <f t="shared" si="71"/>
        <v>22.258000000000035</v>
      </c>
      <c r="W267" s="50">
        <f t="shared" si="72"/>
        <v>22.406000000000034</v>
      </c>
      <c r="X267">
        <f t="shared" si="73"/>
        <v>0.64999999999999591</v>
      </c>
      <c r="Y267" s="50">
        <f t="shared" si="74"/>
        <v>0.14799999999999969</v>
      </c>
      <c r="Z267">
        <f t="shared" si="75"/>
        <v>4.9999999999998934E-3</v>
      </c>
    </row>
    <row r="268" spans="1:26">
      <c r="A268" s="4">
        <v>45000</v>
      </c>
      <c r="B268">
        <f>YEAR(data[[#This Row],[Date]])</f>
        <v>2023</v>
      </c>
      <c r="C268" s="6">
        <f t="shared" si="82"/>
        <v>0.84</v>
      </c>
      <c r="D268" s="7">
        <f t="shared" si="83"/>
        <v>0.52</v>
      </c>
      <c r="E268" s="7">
        <f t="shared" si="84"/>
        <v>0.34</v>
      </c>
      <c r="F268" s="20">
        <v>0.59750000000000003</v>
      </c>
      <c r="G268" s="16">
        <f>AVERAGE(0.49,0.455)</f>
        <v>0.47250000000000003</v>
      </c>
      <c r="H268" s="7">
        <f t="shared" si="64"/>
        <v>0.65</v>
      </c>
      <c r="I268" s="7">
        <v>0.61</v>
      </c>
      <c r="J268" s="7">
        <v>0</v>
      </c>
      <c r="K268" s="7">
        <v>0.5</v>
      </c>
      <c r="L26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0.45285714285714285</v>
      </c>
      <c r="M26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0.39813752439541794</v>
      </c>
      <c r="N268" s="36">
        <f>IF(data[[#This Row],[Weighted_Avg]]&lt;&gt;"", IFERROR(AVERAGE(M256,M244,M232), ""), "")</f>
        <v>0.11049048697498626</v>
      </c>
      <c r="O268" s="14" t="b">
        <f>IF(data[[#This Row],[Date]]&gt;MAX(data[Date])-750, TRUE, FALSE)</f>
        <v>0</v>
      </c>
      <c r="P268" s="37">
        <f t="shared" si="57"/>
        <v>0.5849999999999973</v>
      </c>
      <c r="Q268" s="3">
        <v>0.315</v>
      </c>
      <c r="R268">
        <v>4.2110000000000003</v>
      </c>
      <c r="T268" s="50">
        <v>20.388999999999999</v>
      </c>
      <c r="U268">
        <v>1.21</v>
      </c>
      <c r="V268" s="50">
        <f t="shared" si="71"/>
        <v>22.407000000000036</v>
      </c>
      <c r="W268" s="50">
        <f t="shared" si="72"/>
        <v>22.555000000000035</v>
      </c>
      <c r="X268">
        <f t="shared" si="73"/>
        <v>0.65499999999999581</v>
      </c>
      <c r="Y268" s="50">
        <f t="shared" si="74"/>
        <v>0.14799999999999969</v>
      </c>
      <c r="Z268">
        <f t="shared" si="75"/>
        <v>4.9999999999998934E-3</v>
      </c>
    </row>
    <row r="269" spans="1:26">
      <c r="A269" s="4">
        <v>45031</v>
      </c>
      <c r="B269">
        <f>YEAR(data[[#This Row],[Date]])</f>
        <v>2023</v>
      </c>
      <c r="C269" s="6">
        <f t="shared" si="82"/>
        <v>0.8</v>
      </c>
      <c r="D269" s="7">
        <f t="shared" si="83"/>
        <v>0.48</v>
      </c>
      <c r="E269" s="7">
        <f t="shared" si="84"/>
        <v>0.3</v>
      </c>
      <c r="F269" s="20">
        <v>0.55200000000000005</v>
      </c>
      <c r="G269" s="16">
        <f>AVERAGE(0.425,0.41)</f>
        <v>0.41749999999999998</v>
      </c>
      <c r="H269" s="7">
        <f t="shared" si="64"/>
        <v>0.61</v>
      </c>
      <c r="I269" s="7">
        <v>0.56999999999999995</v>
      </c>
      <c r="J269" s="7">
        <v>0</v>
      </c>
      <c r="K269" s="7">
        <v>0.47</v>
      </c>
      <c r="L26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0.41707142857142859</v>
      </c>
      <c r="M26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0.36341828638099277</v>
      </c>
      <c r="N269" s="36">
        <f>IF(data[[#This Row],[Weighted_Avg]]&lt;&gt;"", IFERROR(AVERAGE(M257,M245,M233), ""), "")</f>
        <v>0.13746158254438659</v>
      </c>
      <c r="O269" s="14" t="b">
        <f>IF(data[[#This Row],[Date]]&gt;MAX(data[Date])-750, TRUE, FALSE)</f>
        <v>1</v>
      </c>
      <c r="P269" s="37">
        <f t="shared" si="57"/>
        <v>0.55499999999999794</v>
      </c>
      <c r="Q269" s="3">
        <v>0.31</v>
      </c>
      <c r="R269">
        <v>4.0990000000000002</v>
      </c>
      <c r="T269" s="50">
        <v>19.486000000000001</v>
      </c>
      <c r="U269">
        <v>1.17</v>
      </c>
      <c r="V269" s="50">
        <f t="shared" si="71"/>
        <v>22.556000000000036</v>
      </c>
      <c r="W269" s="50">
        <f t="shared" si="72"/>
        <v>22.704000000000036</v>
      </c>
      <c r="X269">
        <f t="shared" si="73"/>
        <v>0.6599999999999957</v>
      </c>
      <c r="Y269" s="50">
        <f t="shared" si="74"/>
        <v>0.14799999999999969</v>
      </c>
      <c r="Z269">
        <f t="shared" si="75"/>
        <v>4.9999999999998934E-3</v>
      </c>
    </row>
    <row r="270" spans="1:26">
      <c r="A270" s="4">
        <v>45061</v>
      </c>
      <c r="B270">
        <f>YEAR(data[[#This Row],[Date]])</f>
        <v>2023</v>
      </c>
      <c r="C270" s="6">
        <f t="shared" si="82"/>
        <v>0.75</v>
      </c>
      <c r="D270" s="7">
        <f t="shared" si="83"/>
        <v>0.43</v>
      </c>
      <c r="E270" s="7">
        <f t="shared" si="84"/>
        <v>0.25</v>
      </c>
      <c r="F270" s="20">
        <v>0.5</v>
      </c>
      <c r="G270" s="16">
        <f>AVERAGE(0.385,0.39)</f>
        <v>0.38750000000000001</v>
      </c>
      <c r="H270" s="7">
        <f t="shared" si="64"/>
        <v>0.56000000000000005</v>
      </c>
      <c r="I270" s="7">
        <v>0.52</v>
      </c>
      <c r="J270" s="7">
        <v>0</v>
      </c>
      <c r="K270" s="7">
        <v>0.43</v>
      </c>
      <c r="L27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0.37821428571428578</v>
      </c>
      <c r="M27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0.32250614552397117</v>
      </c>
      <c r="N270" s="36">
        <f>IF(data[[#This Row],[Weighted_Avg]]&lt;&gt;"", IFERROR(AVERAGE(M258,M246,M234), ""), "")</f>
        <v>0.21189641518776672</v>
      </c>
      <c r="O270" s="14" t="b">
        <f>IF(data[[#This Row],[Date]]&gt;MAX(data[Date])-750, TRUE, FALSE)</f>
        <v>1</v>
      </c>
      <c r="P270" s="37">
        <f t="shared" si="57"/>
        <v>0.56999999999999762</v>
      </c>
      <c r="Q270" s="3">
        <v>0.315</v>
      </c>
      <c r="R270">
        <v>3.915</v>
      </c>
      <c r="T270" s="50">
        <v>19.948</v>
      </c>
      <c r="U270">
        <v>1.22</v>
      </c>
      <c r="V270" s="50">
        <f t="shared" ref="V270:V274" si="85">W269+0.001</f>
        <v>22.705000000000037</v>
      </c>
      <c r="W270" s="50">
        <f t="shared" ref="W270:W274" si="86">V270+Y269</f>
        <v>22.853000000000037</v>
      </c>
      <c r="X270">
        <f t="shared" ref="X270:X274" si="87">X269+Z269</f>
        <v>0.66499999999999559</v>
      </c>
      <c r="Y270" s="50">
        <f t="shared" ref="Y270:Y274" si="88">W270-V270</f>
        <v>0.14799999999999969</v>
      </c>
      <c r="Z270">
        <f t="shared" ref="Z270:Z274" si="89">X270-X269</f>
        <v>4.9999999999998934E-3</v>
      </c>
    </row>
    <row r="271" spans="1:26">
      <c r="A271" s="4">
        <v>45092</v>
      </c>
      <c r="B271">
        <f>YEAR(data[[#This Row],[Date]])</f>
        <v>2023</v>
      </c>
      <c r="C271" s="6">
        <f>IF(R269&gt;1.25, ROUNDDOWN((R269-1.25)/0.04, 0)+1, 0)/100</f>
        <v>0.72</v>
      </c>
      <c r="D271" s="7">
        <f>IF(R269&gt;2.5,ROUNDDOWN((R269-2.5)/0.04,0)+1,ROUNDUP((R269-2.5)/0.04,0)+1)/100</f>
        <v>0.4</v>
      </c>
      <c r="E271" s="7">
        <f>IF(R269&gt;3.25, ROUNDDOWN((R269-3.25)/0.04, 0)+1, 0)/100</f>
        <v>0.22</v>
      </c>
      <c r="F271" s="20">
        <v>0.46750000000000003</v>
      </c>
      <c r="G271" s="16">
        <f>AVERAGE(0.36,0.345)</f>
        <v>0.35249999999999998</v>
      </c>
      <c r="H271" s="7">
        <f t="shared" si="64"/>
        <v>0.53</v>
      </c>
      <c r="I271" s="7">
        <v>0.49</v>
      </c>
      <c r="J271" s="7">
        <v>0</v>
      </c>
      <c r="K271" s="7">
        <v>0.4</v>
      </c>
      <c r="L27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0.35142857142857142</v>
      </c>
      <c r="M27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0.29526619643614765</v>
      </c>
      <c r="N271" s="36">
        <f>IF(data[[#This Row],[Weighted_Avg]]&lt;&gt;"", IFERROR(AVERAGE(M259,M247,M235), ""), "")</f>
        <v>0.2081942378584081</v>
      </c>
      <c r="O271" s="14" t="b">
        <f>IF(data[[#This Row],[Date]]&gt;MAX(data[Date])-750, TRUE, FALSE)</f>
        <v>1</v>
      </c>
      <c r="P271" s="37">
        <f t="shared" si="57"/>
        <v>0.56999999999999762</v>
      </c>
      <c r="Q271" s="3">
        <v>0.32</v>
      </c>
      <c r="R271">
        <v>3.802</v>
      </c>
      <c r="T271" s="50">
        <v>19.960999999999999</v>
      </c>
      <c r="U271">
        <v>1.25</v>
      </c>
      <c r="V271" s="50">
        <f t="shared" si="85"/>
        <v>22.854000000000038</v>
      </c>
      <c r="W271" s="50">
        <f t="shared" si="86"/>
        <v>23.002000000000038</v>
      </c>
      <c r="X271">
        <f t="shared" si="87"/>
        <v>0.66999999999999549</v>
      </c>
      <c r="Y271" s="50">
        <f t="shared" si="88"/>
        <v>0.14799999999999969</v>
      </c>
      <c r="Z271">
        <f t="shared" si="89"/>
        <v>4.9999999999998934E-3</v>
      </c>
    </row>
    <row r="272" spans="1:26">
      <c r="A272" s="4">
        <v>45122</v>
      </c>
      <c r="B272">
        <f>YEAR(data[[#This Row],[Date]])</f>
        <v>2023</v>
      </c>
      <c r="C272" s="6">
        <f t="shared" ref="C272:C273" si="90">IF(R270&gt;1.25, ROUNDDOWN((R270-1.25)/0.04, 0)+1, 0)/100</f>
        <v>0.67</v>
      </c>
      <c r="D272" s="7">
        <f t="shared" ref="D272:D273" si="91">IF(R270&gt;2.5,ROUNDDOWN((R270-2.5)/0.04,0)+1,ROUNDUP((R270-2.5)/0.04,0)+1)/100</f>
        <v>0.36</v>
      </c>
      <c r="E272" s="7">
        <f t="shared" ref="E272:E273" si="92">IF(R270&gt;3.25, ROUNDDOWN((R270-3.25)/0.04, 0)+1, 0)/100</f>
        <v>0.17</v>
      </c>
      <c r="F272" s="20">
        <v>0.42199999999999999</v>
      </c>
      <c r="G272" s="16">
        <f>AVERAGE(0.33,0.325)</f>
        <v>0.32750000000000001</v>
      </c>
      <c r="H272" s="7">
        <f t="shared" si="64"/>
        <v>0.48</v>
      </c>
      <c r="I272" s="7">
        <v>0.45</v>
      </c>
      <c r="J272" s="7">
        <v>0</v>
      </c>
      <c r="K272" s="7">
        <f>0.37</f>
        <v>0.37</v>
      </c>
      <c r="L27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0.31707142857142856</v>
      </c>
      <c r="M27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0.25777217691981336</v>
      </c>
      <c r="N272" s="36">
        <f>IF(data[[#This Row],[Weighted_Avg]]&lt;&gt;"", IFERROR(AVERAGE(M260,M248,M236), ""), "")</f>
        <v>0.23946521911135213</v>
      </c>
      <c r="O272" s="14" t="b">
        <f>IF(data[[#This Row],[Date]]&gt;MAX(data[Date])-750, TRUE, FALSE)</f>
        <v>1</v>
      </c>
      <c r="P272" s="37">
        <f t="shared" ref="P272:P282" si="93">AVERAGEIFS(X:X,V:V,  "&lt;="&amp;T272,W:W, "&gt;="&amp;T272)</f>
        <v>0.57999999999999741</v>
      </c>
      <c r="Q272" s="3">
        <v>0.32500000000000001</v>
      </c>
      <c r="R272">
        <v>3.8820000000000001</v>
      </c>
      <c r="T272" s="50">
        <v>20.204999999999998</v>
      </c>
      <c r="U272">
        <v>1.29</v>
      </c>
      <c r="V272" s="50">
        <f t="shared" si="85"/>
        <v>23.003000000000039</v>
      </c>
      <c r="W272" s="50">
        <f t="shared" si="86"/>
        <v>23.151000000000039</v>
      </c>
      <c r="X272">
        <f t="shared" si="87"/>
        <v>0.67499999999999538</v>
      </c>
      <c r="Y272" s="50">
        <f t="shared" si="88"/>
        <v>0.14799999999999969</v>
      </c>
      <c r="Z272">
        <f t="shared" si="89"/>
        <v>4.9999999999998934E-3</v>
      </c>
    </row>
    <row r="273" spans="1:26">
      <c r="A273" s="4">
        <v>45153</v>
      </c>
      <c r="B273">
        <f>YEAR(data[[#This Row],[Date]])</f>
        <v>2023</v>
      </c>
      <c r="C273" s="6">
        <f t="shared" si="90"/>
        <v>0.64</v>
      </c>
      <c r="D273" s="7">
        <f t="shared" si="91"/>
        <v>0.33</v>
      </c>
      <c r="E273" s="7">
        <f t="shared" si="92"/>
        <v>0.14000000000000001</v>
      </c>
      <c r="F273" s="20">
        <v>0.39600000000000002</v>
      </c>
      <c r="G273" s="16">
        <f>AVERAGE(0.325,0.335)</f>
        <v>0.33</v>
      </c>
      <c r="H273" s="7">
        <f t="shared" si="64"/>
        <v>0.46</v>
      </c>
      <c r="I273" s="7">
        <v>0.42</v>
      </c>
      <c r="J273" s="7">
        <v>0</v>
      </c>
      <c r="K273" s="7">
        <v>0.35</v>
      </c>
      <c r="L27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0.29942857142857143</v>
      </c>
      <c r="M27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0.23669496308867205</v>
      </c>
      <c r="N273" s="36">
        <f>IF(data[[#This Row],[Weighted_Avg]]&lt;&gt;"", IFERROR(AVERAGE(M261,M249,M237), ""), "")</f>
        <v>0.2523403679820132</v>
      </c>
      <c r="O273" s="14" t="b">
        <f>IF(data[[#This Row],[Date]]&gt;MAX(data[Date])-750, TRUE, FALSE)</f>
        <v>1</v>
      </c>
      <c r="P273" s="37">
        <f t="shared" si="93"/>
        <v>0.57999999999999741</v>
      </c>
      <c r="Q273" s="3">
        <v>0.33</v>
      </c>
      <c r="R273">
        <v>4.37</v>
      </c>
      <c r="T273" s="50">
        <v>20.190000000000001</v>
      </c>
      <c r="U273">
        <v>1.32</v>
      </c>
      <c r="V273" s="50">
        <f t="shared" si="85"/>
        <v>23.15200000000004</v>
      </c>
      <c r="W273" s="50">
        <f t="shared" si="86"/>
        <v>23.30000000000004</v>
      </c>
      <c r="X273">
        <f t="shared" si="87"/>
        <v>0.67999999999999527</v>
      </c>
      <c r="Y273" s="50">
        <f t="shared" si="88"/>
        <v>0.14799999999999969</v>
      </c>
      <c r="Z273">
        <f t="shared" si="89"/>
        <v>4.9999999999998934E-3</v>
      </c>
    </row>
    <row r="274" spans="1:26">
      <c r="A274" s="4">
        <v>45184</v>
      </c>
      <c r="B274">
        <f>YEAR(data[[#This Row],[Date]])</f>
        <v>2023</v>
      </c>
      <c r="C274" s="6">
        <f t="shared" ref="C274:C275" si="94">IF(R272&gt;1.25, ROUNDDOWN((R272-1.25)/0.04, 0)+1, 0)/100</f>
        <v>0.66</v>
      </c>
      <c r="D274" s="7">
        <f t="shared" ref="D274:D275" si="95">IF(R272&gt;2.5,ROUNDDOWN((R272-2.5)/0.04,0)+1,ROUNDUP((R272-2.5)/0.04,0)+1)/100</f>
        <v>0.35</v>
      </c>
      <c r="E274" s="7">
        <f t="shared" ref="E274:E275" si="96">IF(R272&gt;3.25, ROUNDDOWN((R272-3.25)/0.04, 0)+1, 0)/100</f>
        <v>0.16</v>
      </c>
      <c r="F274" s="20">
        <v>0.41549999999999998</v>
      </c>
      <c r="G274" s="16">
        <f>AVERAGE(0.405,0.445)</f>
        <v>0.42500000000000004</v>
      </c>
      <c r="H274" s="7">
        <f t="shared" si="64"/>
        <v>0.48</v>
      </c>
      <c r="I274" s="7">
        <v>0.44</v>
      </c>
      <c r="J274" s="7">
        <v>0</v>
      </c>
      <c r="K274" s="7">
        <v>0.36</v>
      </c>
      <c r="L27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0.32578571428571429</v>
      </c>
      <c r="M27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0.25758743487484093</v>
      </c>
      <c r="N274" s="36">
        <f>IF(data[[#This Row],[Weighted_Avg]]&lt;&gt;"", IFERROR(AVERAGE(M262,M250,M238), ""), "")</f>
        <v>0.23264554995759268</v>
      </c>
      <c r="O274" s="14" t="b">
        <f>IF(data[[#This Row],[Date]]&gt;MAX(data[Date])-750, TRUE, FALSE)</f>
        <v>1</v>
      </c>
      <c r="P274" s="37">
        <f t="shared" si="93"/>
        <v>0.5849999999999973</v>
      </c>
      <c r="Q274" s="3">
        <v>0.33500000000000002</v>
      </c>
      <c r="R274">
        <v>4.5629999999999997</v>
      </c>
      <c r="T274" s="50">
        <v>20.413</v>
      </c>
      <c r="U274">
        <v>1.36</v>
      </c>
      <c r="V274" s="50">
        <f t="shared" si="85"/>
        <v>23.301000000000041</v>
      </c>
      <c r="W274" s="50">
        <f t="shared" si="86"/>
        <v>23.449000000000041</v>
      </c>
      <c r="X274">
        <f t="shared" si="87"/>
        <v>0.68499999999999517</v>
      </c>
      <c r="Y274" s="50">
        <f t="shared" si="88"/>
        <v>0.14799999999999969</v>
      </c>
      <c r="Z274">
        <f t="shared" si="89"/>
        <v>4.9999999999998934E-3</v>
      </c>
    </row>
    <row r="275" spans="1:26">
      <c r="A275" s="4">
        <v>45214</v>
      </c>
      <c r="B275">
        <f>YEAR(data[[#This Row],[Date]])</f>
        <v>2023</v>
      </c>
      <c r="C275" s="6">
        <f t="shared" si="94"/>
        <v>0.79</v>
      </c>
      <c r="D275" s="7">
        <f t="shared" si="95"/>
        <v>0.47</v>
      </c>
      <c r="E275" s="7">
        <f t="shared" si="96"/>
        <v>0.28999999999999998</v>
      </c>
      <c r="F275" s="20">
        <v>0.53900000000000003</v>
      </c>
      <c r="G275" s="16">
        <f>AVERAGE(0.47, 0.49)</f>
        <v>0.48</v>
      </c>
      <c r="H275" s="7">
        <f t="shared" si="64"/>
        <v>0.6</v>
      </c>
      <c r="I275" s="7">
        <v>0.56000000000000005</v>
      </c>
      <c r="J275" s="7">
        <v>0</v>
      </c>
      <c r="K275" s="7">
        <v>0.46</v>
      </c>
      <c r="L27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0.41842857142857143</v>
      </c>
      <c r="M27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0.35957352227407724</v>
      </c>
      <c r="N275" s="36">
        <f>IF(data[[#This Row],[Weighted_Avg]]&lt;&gt;"", IFERROR(AVERAGE(M263,M251,M239), ""), "")</f>
        <v>0.20463267584337042</v>
      </c>
      <c r="O275" s="14" t="b">
        <f>IF(data[[#This Row],[Date]]&gt;MAX(data[Date])-750, TRUE, FALSE)</f>
        <v>1</v>
      </c>
      <c r="P275" s="37">
        <f t="shared" si="93"/>
        <v>0.59499999999999709</v>
      </c>
      <c r="Q275" s="3">
        <v>0.33500000000000002</v>
      </c>
      <c r="R275">
        <v>4.5069999999999997</v>
      </c>
      <c r="T275" s="50">
        <v>20.66</v>
      </c>
      <c r="U275">
        <v>1.38</v>
      </c>
    </row>
    <row r="276" spans="1:26">
      <c r="A276" s="4">
        <v>45245</v>
      </c>
      <c r="B276">
        <f>YEAR(data[[#This Row],[Date]])</f>
        <v>2023</v>
      </c>
      <c r="C276" s="6">
        <f t="shared" ref="C276:C279" si="97">IF(R274&gt;1.25, ROUNDDOWN((R274-1.25)/0.04, 0)+1, 0)/100</f>
        <v>0.83</v>
      </c>
      <c r="D276" s="7">
        <f t="shared" ref="D276:D279" si="98">IF(R274&gt;2.5,ROUNDDOWN((R274-2.5)/0.04,0)+1,ROUNDUP((R274-2.5)/0.04,0)+1)/100</f>
        <v>0.52</v>
      </c>
      <c r="E276" s="7">
        <f t="shared" ref="E276:E279" si="99">IF(R274&gt;3.25, ROUNDDOWN((R274-3.25)/0.04, 0)+1, 0)/100</f>
        <v>0.33</v>
      </c>
      <c r="F276" s="20">
        <v>0.59099999999999997</v>
      </c>
      <c r="G276" s="16">
        <f>AVERAGE(0.48,0.47)</f>
        <v>0.47499999999999998</v>
      </c>
      <c r="H276" s="7">
        <f t="shared" si="64"/>
        <v>0.65</v>
      </c>
      <c r="I276" s="7">
        <v>0.61</v>
      </c>
      <c r="J276" s="7">
        <v>0</v>
      </c>
      <c r="K276" s="7">
        <v>0.5</v>
      </c>
      <c r="L27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0.45085714285714279</v>
      </c>
      <c r="M27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0.39379115740347903</v>
      </c>
      <c r="N276" s="36">
        <f>IF(data[[#This Row],[Weighted_Avg]]&lt;&gt;"", IFERROR(AVERAGE(M264,M252,M240), ""), "")</f>
        <v>0.20441033763721014</v>
      </c>
      <c r="O276" s="14" t="b">
        <f>IF(data[[#This Row],[Date]]&gt;MAX(data[Date])-750, TRUE, FALSE)</f>
        <v>1</v>
      </c>
      <c r="P276" s="37">
        <f t="shared" si="93"/>
        <v>0.58999999999999719</v>
      </c>
      <c r="Q276" s="3">
        <v>0.33500000000000002</v>
      </c>
      <c r="R276">
        <v>4.2539999999999996</v>
      </c>
      <c r="T276" s="50">
        <v>20.562000000000001</v>
      </c>
      <c r="U276">
        <v>1.35</v>
      </c>
    </row>
    <row r="277" spans="1:26">
      <c r="A277" s="4">
        <v>45275</v>
      </c>
      <c r="B277">
        <f>YEAR(data[[#This Row],[Date]])</f>
        <v>2023</v>
      </c>
      <c r="C277" s="6">
        <f t="shared" si="97"/>
        <v>0.82</v>
      </c>
      <c r="D277" s="7">
        <f t="shared" si="98"/>
        <v>0.51</v>
      </c>
      <c r="E277" s="7">
        <f t="shared" si="99"/>
        <v>0.32</v>
      </c>
      <c r="F277" s="20">
        <v>0.57799999999999996</v>
      </c>
      <c r="G277" s="16">
        <f>AVERAGE(0.42,0.455)</f>
        <v>0.4375</v>
      </c>
      <c r="H277" s="7">
        <f t="shared" si="64"/>
        <v>0.63</v>
      </c>
      <c r="I277" s="7">
        <v>0.6</v>
      </c>
      <c r="J277" s="7">
        <v>0</v>
      </c>
      <c r="K277" s="7">
        <v>0.49</v>
      </c>
      <c r="L27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0.43650000000000005</v>
      </c>
      <c r="M27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0.38195265549427238</v>
      </c>
      <c r="N277" s="36">
        <f>IF(data[[#This Row],[Weighted_Avg]]&lt;&gt;"", IFERROR(AVERAGE(M265,M253,M241), ""), "")</f>
        <v>0.22752971847232162</v>
      </c>
      <c r="O277" s="14" t="b">
        <f>IF(data[[#This Row],[Date]]&gt;MAX(data[Date])-750, TRUE, FALSE)</f>
        <v>1</v>
      </c>
      <c r="P277" s="37">
        <f t="shared" si="93"/>
        <v>0.57999999999999741</v>
      </c>
      <c r="Q277" s="3">
        <v>0.33</v>
      </c>
      <c r="R277">
        <v>3.972</v>
      </c>
      <c r="T277" s="50">
        <v>20.315999999999999</v>
      </c>
      <c r="U277">
        <v>1.27</v>
      </c>
    </row>
    <row r="278" spans="1:26">
      <c r="A278" s="4">
        <v>45306</v>
      </c>
      <c r="B278">
        <f>YEAR(data[[#This Row],[Date]])</f>
        <v>2024</v>
      </c>
      <c r="C278" s="6">
        <f t="shared" si="97"/>
        <v>0.76</v>
      </c>
      <c r="D278" s="7">
        <f t="shared" si="98"/>
        <v>0.44</v>
      </c>
      <c r="E278" s="7">
        <f t="shared" si="99"/>
        <v>0.26</v>
      </c>
      <c r="F278" s="20">
        <v>0.51300000000000001</v>
      </c>
      <c r="G278" s="16">
        <f>AVERAGE(0.385,0.345)</f>
        <v>0.36499999999999999</v>
      </c>
      <c r="H278" s="7">
        <f t="shared" si="64"/>
        <v>0.56999999999999995</v>
      </c>
      <c r="I278" s="7">
        <v>0.53</v>
      </c>
      <c r="J278" s="7">
        <v>0</v>
      </c>
      <c r="K278" s="7">
        <v>0.44</v>
      </c>
      <c r="L27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0.38257142857142851</v>
      </c>
      <c r="M27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0.32100714682466214</v>
      </c>
      <c r="N278" s="36">
        <f>IF(data[[#This Row],[Weighted_Avg]]&lt;&gt;"", IFERROR(AVERAGE(M266,M254,M242), ""), "")</f>
        <v>0.25869477980257705</v>
      </c>
      <c r="O278" s="14" t="b">
        <f>IF(data[[#This Row],[Date]]&gt;MAX(data[Date])-750, TRUE, FALSE)</f>
        <v>1</v>
      </c>
      <c r="P278" s="37">
        <f t="shared" si="93"/>
        <v>0.57499999999999751</v>
      </c>
      <c r="Q278" s="3">
        <v>0.33</v>
      </c>
      <c r="R278">
        <v>3.8540000000000001</v>
      </c>
      <c r="T278" s="50">
        <v>20.027000000000001</v>
      </c>
      <c r="U278">
        <v>1.3</v>
      </c>
    </row>
    <row r="279" spans="1:26">
      <c r="A279" s="4">
        <v>45337</v>
      </c>
      <c r="B279">
        <f>YEAR(data[[#This Row],[Date]])</f>
        <v>2024</v>
      </c>
      <c r="C279" s="6">
        <f t="shared" si="97"/>
        <v>0.69</v>
      </c>
      <c r="D279" s="7">
        <f t="shared" si="98"/>
        <v>0.37</v>
      </c>
      <c r="E279" s="7">
        <f t="shared" si="99"/>
        <v>0.19</v>
      </c>
      <c r="F279" s="20">
        <v>0.435</v>
      </c>
      <c r="G279" s="16">
        <f>AVERAGE(0.335, 0.335)</f>
        <v>0.33500000000000002</v>
      </c>
      <c r="H279" s="7">
        <f t="shared" si="64"/>
        <v>0.5</v>
      </c>
      <c r="I279" s="7">
        <v>0.46</v>
      </c>
      <c r="J279" s="7">
        <v>0</v>
      </c>
      <c r="K279" s="7">
        <v>0.38</v>
      </c>
      <c r="L27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0.32857142857142857</v>
      </c>
      <c r="M27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0.26382401210177786</v>
      </c>
      <c r="N279" s="36">
        <f>IF(data[[#This Row],[Weighted_Avg]]&lt;&gt;"", IFERROR(AVERAGE(M267,M255,M243), ""), "")</f>
        <v>0.21975390046559204</v>
      </c>
      <c r="O279" s="14" t="b">
        <f>IF(data[[#This Row],[Date]]&gt;MAX(data[Date])-750, TRUE, FALSE)</f>
        <v>1</v>
      </c>
      <c r="P279" s="37">
        <f t="shared" si="93"/>
        <v>0.57999999999999741</v>
      </c>
      <c r="Q279" s="3">
        <v>0.33500000000000002</v>
      </c>
      <c r="R279">
        <v>4.0439999999999996</v>
      </c>
      <c r="T279" s="50">
        <v>20.251999999999999</v>
      </c>
      <c r="U279">
        <v>1.33</v>
      </c>
    </row>
    <row r="280" spans="1:26">
      <c r="A280" s="4">
        <v>45366</v>
      </c>
      <c r="B280">
        <f>YEAR(data[[#This Row],[Date]])</f>
        <v>2024</v>
      </c>
      <c r="C280" s="6">
        <f t="shared" ref="C280:C282" si="100">IF(R278&gt;1.25, ROUNDDOWN((R278-1.25)/0.04, 0)+1, 0)/100</f>
        <v>0.66</v>
      </c>
      <c r="D280" s="7">
        <f t="shared" ref="D280:D282" si="101">IF(R278&gt;2.5,ROUNDDOWN((R278-2.5)/0.04,0)+1,ROUNDUP((R278-2.5)/0.04,0)+1)/100</f>
        <v>0.34</v>
      </c>
      <c r="E280" s="7">
        <f t="shared" ref="E280:E282" si="102">IF(R278&gt;3.25, ROUNDDOWN((R278-3.25)/0.04, 0)+1, 0)/100</f>
        <v>0.16</v>
      </c>
      <c r="F280" s="20">
        <v>0.40899999999999997</v>
      </c>
      <c r="G280" s="16">
        <f>AVERAGE(0.345,0.39)</f>
        <v>0.36749999999999999</v>
      </c>
      <c r="H280" s="7">
        <f t="shared" si="64"/>
        <v>0.47</v>
      </c>
      <c r="I280" s="7">
        <v>0.43</v>
      </c>
      <c r="J280" s="7">
        <v>0</v>
      </c>
      <c r="K280" s="7">
        <v>0.36</v>
      </c>
      <c r="L28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0.31378571428571428</v>
      </c>
      <c r="M28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0.24440722403652593</v>
      </c>
      <c r="N280" s="36">
        <f>IF(data[[#This Row],[Weighted_Avg]]&lt;&gt;"", IFERROR(AVERAGE(M268,M256,M244), ""), "")</f>
        <v>0.22141176892904943</v>
      </c>
      <c r="O280" s="14" t="b">
        <f>IF(data[[#This Row],[Date]]&gt;MAX(data[Date])-750, TRUE, FALSE)</f>
        <v>1</v>
      </c>
      <c r="P280" s="37">
        <f t="shared" si="93"/>
        <v>0.60499999999999687</v>
      </c>
      <c r="Q280" s="3">
        <v>0.34499999999999997</v>
      </c>
      <c r="R280">
        <v>4.0220000000000002</v>
      </c>
      <c r="T280" s="50">
        <v>21.001000000000001</v>
      </c>
      <c r="U280">
        <v>1.4</v>
      </c>
    </row>
    <row r="281" spans="1:26">
      <c r="A281" s="4">
        <v>45397</v>
      </c>
      <c r="B281">
        <f>YEAR(data[[#This Row],[Date]])</f>
        <v>2024</v>
      </c>
      <c r="C281" s="6">
        <f t="shared" si="100"/>
        <v>0.7</v>
      </c>
      <c r="D281" s="7">
        <f t="shared" si="101"/>
        <v>0.39</v>
      </c>
      <c r="E281" s="7">
        <f t="shared" si="102"/>
        <v>0.2</v>
      </c>
      <c r="F281" s="20">
        <v>0.45450000000000002</v>
      </c>
      <c r="G281" s="16">
        <f>AVERAGE(0.375, 0.375)</f>
        <v>0.375</v>
      </c>
      <c r="H281" s="7">
        <f t="shared" si="64"/>
        <v>0.52</v>
      </c>
      <c r="I281" s="7">
        <v>0.48</v>
      </c>
      <c r="J281" s="7">
        <v>0</v>
      </c>
      <c r="K281" s="7">
        <v>0.39</v>
      </c>
      <c r="L28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0.3456428571428572</v>
      </c>
      <c r="M28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0.2764855475936292</v>
      </c>
      <c r="N281" s="36">
        <f>IF(data[[#This Row],[Weighted_Avg]]&lt;&gt;"", IFERROR(AVERAGE(M269,M257,M245), ""), "")</f>
        <v>0.23973395412375711</v>
      </c>
      <c r="O281" s="14" t="b">
        <f>IF(data[[#This Row],[Date]]&gt;MAX(data[Date])-750, TRUE, FALSE)</f>
        <v>1</v>
      </c>
      <c r="P281" s="37">
        <f t="shared" si="93"/>
        <v>0.60499999999999687</v>
      </c>
      <c r="Q281" s="3">
        <v>0.34499999999999997</v>
      </c>
      <c r="R281">
        <v>4.0019999999999998</v>
      </c>
      <c r="T281" s="50">
        <v>20.927</v>
      </c>
      <c r="U281">
        <v>1.4</v>
      </c>
    </row>
    <row r="282" spans="1:26">
      <c r="A282" s="4">
        <v>45427</v>
      </c>
      <c r="B282">
        <f>YEAR(data[[#This Row],[Date]])</f>
        <v>2024</v>
      </c>
      <c r="C282" s="6">
        <f t="shared" si="100"/>
        <v>0.7</v>
      </c>
      <c r="D282" s="7">
        <f t="shared" si="101"/>
        <v>0.39</v>
      </c>
      <c r="E282" s="7">
        <f t="shared" si="102"/>
        <v>0.2</v>
      </c>
      <c r="F282" s="20">
        <v>0.44800000000000001</v>
      </c>
      <c r="G282" s="16">
        <f>AVERAGE(0.375,0.37)</f>
        <v>0.3725</v>
      </c>
      <c r="H282" s="7">
        <f t="shared" si="64"/>
        <v>0.51</v>
      </c>
      <c r="I282" s="7">
        <v>0.48</v>
      </c>
      <c r="J282" s="7">
        <v>0</v>
      </c>
      <c r="K282" s="7">
        <v>0.39</v>
      </c>
      <c r="L28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0.34292857142857142</v>
      </c>
      <c r="M28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0.27530094190595122</v>
      </c>
      <c r="N282" s="36">
        <f>IF(data[[#This Row],[Weighted_Avg]]&lt;&gt;"", IFERROR(AVERAGE(M270,M258,M246), ""), "")</f>
        <v>0.30559218094563367</v>
      </c>
      <c r="O282" s="14" t="b">
        <f>IF(data[[#This Row],[Date]]&gt;MAX(data[Date])-750, TRUE, FALSE)</f>
        <v>1</v>
      </c>
      <c r="P282" s="37">
        <f t="shared" si="93"/>
        <v>0.59999999999999698</v>
      </c>
      <c r="Q282" s="3">
        <v>0.34499999999999997</v>
      </c>
      <c r="R282">
        <v>3.8220000000000001</v>
      </c>
      <c r="T282" s="50">
        <v>20.893999999999998</v>
      </c>
      <c r="U282">
        <v>1.41</v>
      </c>
    </row>
    <row r="283" spans="1:26">
      <c r="A283" s="4">
        <v>45458</v>
      </c>
      <c r="B283">
        <f>YEAR(data[[#This Row],[Date]])</f>
        <v>2024</v>
      </c>
      <c r="C283" s="6">
        <f t="shared" ref="C283:C286" si="103">IF(R281&gt;1.25, ROUNDDOWN((R281-1.25)/0.04, 0)+1, 0)/100</f>
        <v>0.69</v>
      </c>
      <c r="D283" s="7">
        <f t="shared" ref="D283:D286" si="104">IF(R281&gt;2.5,ROUNDDOWN((R281-2.5)/0.04,0)+1,ROUNDUP((R281-2.5)/0.04,0)+1)/100</f>
        <v>0.38</v>
      </c>
      <c r="E283" s="7">
        <f t="shared" ref="E283:E286" si="105">IF(R281&gt;3.25, ROUNDDOWN((R281-3.25)/0.04, 0)+1, 0)/100</f>
        <v>0.19</v>
      </c>
      <c r="F283" s="20">
        <v>0.44800000000000001</v>
      </c>
      <c r="G283" s="16">
        <f>AVERAGE(0.35,0.33)</f>
        <v>0.33999999999999997</v>
      </c>
      <c r="H283" s="7">
        <f t="shared" ref="H283" si="106">IF(R281&gt;2, ROUNDDOWN((R281-2)/0.04, 0)+1, 0)/100</f>
        <v>0.51</v>
      </c>
      <c r="I283" s="7">
        <v>0.47</v>
      </c>
      <c r="J283" s="7">
        <v>0</v>
      </c>
      <c r="K283" s="7">
        <v>0.39</v>
      </c>
      <c r="L28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0.33542857142857141</v>
      </c>
      <c r="M28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0.26805546333027375</v>
      </c>
      <c r="N283" s="36">
        <f>IF(data[[#This Row],[Weighted_Avg]]&lt;&gt;"", IFERROR(AVERAGE(M271,M259,M247), ""), "")</f>
        <v>0.29848314700932138</v>
      </c>
      <c r="O283" s="14" t="b">
        <f>IF(data[[#This Row],[Date]]&gt;MAX(data[Date])-750, TRUE, FALSE)</f>
        <v>1</v>
      </c>
      <c r="P283" s="37">
        <f t="shared" ref="P283:P293" si="107">AVERAGEIFS(X:X,V:V,  "&lt;="&amp;T283,W:W, "&gt;="&amp;T283)</f>
        <v>0.60499999999999687</v>
      </c>
      <c r="Q283" s="3">
        <v>0.34499999999999997</v>
      </c>
      <c r="R283">
        <v>3.722</v>
      </c>
      <c r="T283" s="50">
        <v>21.056999999999999</v>
      </c>
      <c r="U283">
        <v>1.43</v>
      </c>
    </row>
    <row r="284" spans="1:26">
      <c r="A284" s="4">
        <v>45488</v>
      </c>
      <c r="B284">
        <f>YEAR(data[[#This Row],[Date]])</f>
        <v>2024</v>
      </c>
      <c r="C284" s="6">
        <f t="shared" si="103"/>
        <v>0.65</v>
      </c>
      <c r="D284" s="7">
        <f t="shared" si="104"/>
        <v>0.34</v>
      </c>
      <c r="E284" s="7">
        <f t="shared" si="105"/>
        <v>0.15</v>
      </c>
      <c r="F284" s="20">
        <v>0.39600000000000002</v>
      </c>
      <c r="G284" s="16">
        <f>AVERAGE(0.31,0.315)</f>
        <v>0.3125</v>
      </c>
      <c r="H284" s="7">
        <f t="shared" si="64"/>
        <v>0.46</v>
      </c>
      <c r="I284" s="7">
        <v>0.43</v>
      </c>
      <c r="J284" s="7">
        <v>0</v>
      </c>
      <c r="K284" s="7">
        <v>0.35</v>
      </c>
      <c r="L284"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0.29978571428571427</v>
      </c>
      <c r="M284"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0.23228903000626361</v>
      </c>
      <c r="N284" s="36">
        <f>IF(data[[#This Row],[Weighted_Avg]]&lt;&gt;"", IFERROR(AVERAGE(M272,M260,M248), ""), "")</f>
        <v>0.31919741733637558</v>
      </c>
      <c r="O284" s="14" t="b">
        <f>IF(data[[#This Row],[Date]]&gt;MAX(data[Date])-750, TRUE, FALSE)</f>
        <v>1</v>
      </c>
      <c r="P284" s="37">
        <f t="shared" si="107"/>
        <v>0.5849999999999973</v>
      </c>
      <c r="Q284" s="3">
        <v>0.34</v>
      </c>
      <c r="R284">
        <v>3.81</v>
      </c>
      <c r="T284" s="50">
        <v>20.431999999999999</v>
      </c>
      <c r="U284">
        <v>1.38</v>
      </c>
    </row>
    <row r="285" spans="1:26">
      <c r="A285" s="4">
        <v>45519</v>
      </c>
      <c r="B285">
        <f>YEAR(data[[#This Row],[Date]])</f>
        <v>2024</v>
      </c>
      <c r="C285" s="6">
        <f t="shared" si="103"/>
        <v>0.62</v>
      </c>
      <c r="D285" s="7">
        <f t="shared" si="104"/>
        <v>0.31</v>
      </c>
      <c r="E285" s="7">
        <f t="shared" si="105"/>
        <v>0.12</v>
      </c>
      <c r="F285" s="20">
        <v>0.37</v>
      </c>
      <c r="G285" s="16">
        <f>AVERAGE(0.335,0.325)</f>
        <v>0.33</v>
      </c>
      <c r="H285" s="7">
        <f t="shared" si="64"/>
        <v>0.44</v>
      </c>
      <c r="I285" s="7">
        <v>0.4</v>
      </c>
      <c r="J285" s="7">
        <v>0</v>
      </c>
      <c r="K285" s="7">
        <v>0.33</v>
      </c>
      <c r="L285"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0.28428571428571431</v>
      </c>
      <c r="M285"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0.21241092469085709</v>
      </c>
      <c r="N285" s="36">
        <f>IF(data[[#This Row],[Weighted_Avg]]&lt;&gt;"", IFERROR(AVERAGE(M273,M261,M249), ""), "")</f>
        <v>0.32412495557761029</v>
      </c>
      <c r="O285" s="14" t="b">
        <f>IF(data[[#This Row],[Date]]&gt;MAX(data[Date])-750, TRUE, FALSE)</f>
        <v>1</v>
      </c>
      <c r="P285" s="37">
        <f t="shared" si="107"/>
        <v>0.60999999999999677</v>
      </c>
      <c r="Q285" s="3">
        <v>0.35499999999999998</v>
      </c>
      <c r="R285">
        <v>3.7</v>
      </c>
      <c r="T285" s="50">
        <v>21.129000000000001</v>
      </c>
      <c r="U285">
        <v>1.34</v>
      </c>
    </row>
    <row r="286" spans="1:26">
      <c r="A286" s="4">
        <v>45550</v>
      </c>
      <c r="B286">
        <f>YEAR(data[[#This Row],[Date]])</f>
        <v>2024</v>
      </c>
      <c r="C286" s="6">
        <f t="shared" si="103"/>
        <v>0.65</v>
      </c>
      <c r="D286" s="7">
        <f t="shared" si="104"/>
        <v>0.33</v>
      </c>
      <c r="E286" s="7">
        <f t="shared" si="105"/>
        <v>0.15</v>
      </c>
      <c r="F286" s="20">
        <v>0.39600000000000002</v>
      </c>
      <c r="G286" s="16">
        <f>AVERAGE(0.32,0.3)</f>
        <v>0.31</v>
      </c>
      <c r="H286" s="7">
        <f t="shared" si="64"/>
        <v>0.46</v>
      </c>
      <c r="I286" s="7">
        <v>0.42</v>
      </c>
      <c r="J286" s="7">
        <v>0</v>
      </c>
      <c r="K286" s="7">
        <v>0.35</v>
      </c>
      <c r="L286"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0.29799999999999999</v>
      </c>
      <c r="M286"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0.23174420182235758</v>
      </c>
      <c r="N286" s="36">
        <f>IF(data[[#This Row],[Weighted_Avg]]&lt;&gt;"", IFERROR(AVERAGE(M274,M262,M250), ""), "")</f>
        <v>0.31121818897224679</v>
      </c>
      <c r="O286" s="14" t="b">
        <f>IF(data[[#This Row],[Date]]&gt;MAX(data[Date])-750, TRUE, FALSE)</f>
        <v>1</v>
      </c>
      <c r="P286" s="37">
        <f t="shared" si="107"/>
        <v>0.61499999999999666</v>
      </c>
      <c r="Q286" s="3">
        <v>0.35499999999999998</v>
      </c>
      <c r="R286">
        <v>3.5579999999999998</v>
      </c>
      <c r="T286" s="50">
        <v>21.294</v>
      </c>
      <c r="U286">
        <v>1.35</v>
      </c>
    </row>
    <row r="287" spans="1:26">
      <c r="A287" s="4">
        <v>45580</v>
      </c>
      <c r="B287">
        <f>YEAR(data[[#This Row],[Date]])</f>
        <v>2024</v>
      </c>
      <c r="C287" s="6">
        <f t="shared" ref="C287:C289" si="108">IF(R285&gt;1.25, ROUNDDOWN((R285-1.25)/0.04, 0)+1, 0)/100</f>
        <v>0.62</v>
      </c>
      <c r="D287" s="7">
        <f t="shared" ref="D287:D289" si="109">IF(R285&gt;2.5,ROUNDDOWN((R285-2.5)/0.04,0)+1,ROUNDUP((R285-2.5)/0.04,0)+1)/100</f>
        <v>0.31</v>
      </c>
      <c r="E287" s="7">
        <f t="shared" ref="E287:E289" si="110">IF(R285&gt;3.25, ROUNDDOWN((R285-3.25)/0.04, 0)+1, 0)/100</f>
        <v>0.12</v>
      </c>
      <c r="F287" s="20">
        <v>0.37</v>
      </c>
      <c r="G287" s="16">
        <f>AVERAGE(0.28,0.27)</f>
        <v>0.27500000000000002</v>
      </c>
      <c r="H287" s="7">
        <f t="shared" si="64"/>
        <v>0.43</v>
      </c>
      <c r="I287" s="7">
        <v>0.4</v>
      </c>
      <c r="J287" s="7">
        <v>0</v>
      </c>
      <c r="K287" s="7">
        <v>0.33</v>
      </c>
      <c r="L287"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0.27500000000000002</v>
      </c>
      <c r="M287"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0.2074871556488751</v>
      </c>
      <c r="N287" s="36">
        <f>IF(data[[#This Row],[Weighted_Avg]]&lt;&gt;"", IFERROR(AVERAGE(M275,M263,M251), ""), "")</f>
        <v>0.31725841859760978</v>
      </c>
      <c r="O287" s="14" t="b">
        <f>IF(data[[#This Row],[Date]]&gt;MAX(data[Date])-750, TRUE, FALSE)</f>
        <v>1</v>
      </c>
      <c r="P287" s="37">
        <f t="shared" si="107"/>
        <v>0.60999999999999677</v>
      </c>
      <c r="Q287" s="3">
        <v>0.35</v>
      </c>
      <c r="R287">
        <v>3.585</v>
      </c>
      <c r="T287" s="50">
        <v>21.189</v>
      </c>
      <c r="U287">
        <v>1.27</v>
      </c>
    </row>
    <row r="288" spans="1:26">
      <c r="A288" s="4">
        <v>45611</v>
      </c>
      <c r="B288">
        <f>YEAR(data[[#This Row],[Date]])</f>
        <v>2024</v>
      </c>
      <c r="C288" s="6">
        <f t="shared" si="108"/>
        <v>0.57999999999999996</v>
      </c>
      <c r="D288" s="7">
        <f t="shared" si="109"/>
        <v>0.27</v>
      </c>
      <c r="E288" s="7">
        <f t="shared" si="110"/>
        <v>0.08</v>
      </c>
      <c r="F288" s="20">
        <v>0.33100000000000002</v>
      </c>
      <c r="G288" s="16">
        <f>AVERAGE(0.275, 0.28)</f>
        <v>0.27750000000000002</v>
      </c>
      <c r="H288" s="7">
        <f t="shared" si="64"/>
        <v>0.39</v>
      </c>
      <c r="I288" s="7">
        <v>0.36</v>
      </c>
      <c r="J288" s="7">
        <v>0</v>
      </c>
      <c r="K288" s="7">
        <v>0.3</v>
      </c>
      <c r="L288"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0.24835714285714286</v>
      </c>
      <c r="M288"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0.17752291498422279</v>
      </c>
      <c r="N288" s="36">
        <f>IF(data[[#This Row],[Weighted_Avg]]&lt;&gt;"", IFERROR(AVERAGE(M276,M264,M252), ""), "")</f>
        <v>0.32879128843043548</v>
      </c>
      <c r="O288" s="14" t="b">
        <f>IF(data[[#This Row],[Date]]&gt;MAX(data[Date])-750, TRUE, FALSE)</f>
        <v>1</v>
      </c>
      <c r="P288" s="37">
        <f t="shared" si="107"/>
        <v>0.59999999999999698</v>
      </c>
      <c r="Q288" s="3">
        <v>0.34499999999999997</v>
      </c>
      <c r="R288">
        <v>3.5219999999999998</v>
      </c>
      <c r="T288" s="50">
        <v>20.852</v>
      </c>
      <c r="U288">
        <v>1.21</v>
      </c>
    </row>
    <row r="289" spans="1:21">
      <c r="A289" s="4">
        <v>45641</v>
      </c>
      <c r="B289">
        <f>YEAR(data[[#This Row],[Date]])</f>
        <v>2024</v>
      </c>
      <c r="C289" s="6">
        <f t="shared" si="108"/>
        <v>0.59</v>
      </c>
      <c r="D289" s="7">
        <f t="shared" si="109"/>
        <v>0.28000000000000003</v>
      </c>
      <c r="E289" s="7">
        <f t="shared" si="110"/>
        <v>0.09</v>
      </c>
      <c r="F289" s="20">
        <v>0.33750000000000002</v>
      </c>
      <c r="G289" s="16">
        <f>AVERAGE(0.275,0.265)</f>
        <v>0.27</v>
      </c>
      <c r="H289" s="7">
        <f t="shared" si="64"/>
        <v>0.4</v>
      </c>
      <c r="I289" s="7">
        <v>0.37</v>
      </c>
      <c r="J289" s="7">
        <v>0</v>
      </c>
      <c r="K289" s="7">
        <v>0.3</v>
      </c>
      <c r="L289"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0.25250000000000006</v>
      </c>
      <c r="M289"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0.18268348257020961</v>
      </c>
      <c r="N289" s="36">
        <f>IF(data[[#This Row],[Weighted_Avg]]&lt;&gt;"", IFERROR(AVERAGE(M277,M265,M253), ""), "")</f>
        <v>0.34863171317032188</v>
      </c>
      <c r="O289" s="14" t="b">
        <f>IF(data[[#This Row],[Date]]&gt;MAX(data[Date])-750, TRUE, FALSE)</f>
        <v>1</v>
      </c>
      <c r="P289" s="37">
        <f t="shared" si="107"/>
        <v>0.61999999999999655</v>
      </c>
      <c r="Q289" s="3">
        <v>0.35499999999999998</v>
      </c>
      <c r="R289">
        <v>3.4940000000000002</v>
      </c>
      <c r="T289" s="50">
        <v>21.390999999999998</v>
      </c>
      <c r="U289">
        <v>1.25</v>
      </c>
    </row>
    <row r="290" spans="1:21">
      <c r="A290" s="4">
        <v>45672</v>
      </c>
      <c r="B290">
        <f>YEAR(data[[#This Row],[Date]])</f>
        <v>2025</v>
      </c>
      <c r="C290" s="6">
        <f t="shared" ref="C290:C293" si="111">IF(R288&gt;1.25, ROUNDDOWN((R288-1.25)/0.04, 0)+1, 0)/100</f>
        <v>0.56999999999999995</v>
      </c>
      <c r="D290" s="7">
        <f t="shared" ref="D290:D293" si="112">IF(R288&gt;2.5,ROUNDDOWN((R288-2.5)/0.04,0)+1,ROUNDUP((R288-2.5)/0.04,0)+1)/100</f>
        <v>0.26</v>
      </c>
      <c r="E290" s="7">
        <f t="shared" ref="E290:E293" si="113">IF(R288&gt;3.25, ROUNDDOWN((R288-3.25)/0.04, 0)+1, 0)/100</f>
        <v>7.0000000000000007E-2</v>
      </c>
      <c r="F290" s="20">
        <v>0.318</v>
      </c>
      <c r="G290" s="16">
        <f>AVERAGE(0.265,0.26)</f>
        <v>0.26250000000000001</v>
      </c>
      <c r="H290" s="7">
        <f t="shared" si="64"/>
        <v>0.39</v>
      </c>
      <c r="I290" s="7">
        <v>0.35</v>
      </c>
      <c r="J290" s="7">
        <v>0</v>
      </c>
      <c r="K290" s="7">
        <v>0.28999999999999998</v>
      </c>
      <c r="L290"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0.24007142857142863</v>
      </c>
      <c r="M290"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0.16879907848143827</v>
      </c>
      <c r="N290" s="36">
        <f>IF(data[[#This Row],[Weighted_Avg]]&lt;&gt;"", IFERROR(AVERAGE(M278,M266,M254), ""), "")</f>
        <v>0.35729918791661319</v>
      </c>
      <c r="O290" s="14" t="b">
        <f>IF(data[[#This Row],[Date]]&gt;MAX(data[Date])-750, TRUE, FALSE)</f>
        <v>1</v>
      </c>
      <c r="P290" s="37">
        <f t="shared" si="107"/>
        <v>0.62999999999999634</v>
      </c>
      <c r="Q290" s="3">
        <v>0.36</v>
      </c>
      <c r="R290">
        <v>3.6339999999999999</v>
      </c>
      <c r="T290" s="50">
        <v>21.727</v>
      </c>
      <c r="U290">
        <v>1.23</v>
      </c>
    </row>
    <row r="291" spans="1:21">
      <c r="A291" s="4">
        <v>45703</v>
      </c>
      <c r="B291">
        <f>YEAR(data[[#This Row],[Date]])</f>
        <v>2025</v>
      </c>
      <c r="C291" s="6">
        <f t="shared" si="111"/>
        <v>0.56999999999999995</v>
      </c>
      <c r="D291" s="7">
        <f t="shared" si="112"/>
        <v>0.25</v>
      </c>
      <c r="E291" s="7">
        <f t="shared" si="113"/>
        <v>7.0000000000000007E-2</v>
      </c>
      <c r="F291" s="20">
        <v>0.3115</v>
      </c>
      <c r="G291" s="16">
        <f>AVERAGE(0.27,0.295)</f>
        <v>0.28249999999999997</v>
      </c>
      <c r="H291" s="7">
        <f t="shared" si="64"/>
        <v>0.38</v>
      </c>
      <c r="I291" s="7">
        <v>0.34</v>
      </c>
      <c r="J291" s="7">
        <v>0</v>
      </c>
      <c r="K291" s="7">
        <v>0.28000000000000003</v>
      </c>
      <c r="L291"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0.23771428571428574</v>
      </c>
      <c r="M291"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0.16663494415198227</v>
      </c>
      <c r="N291" s="36">
        <f>IF(data[[#This Row],[Weighted_Avg]]&lt;&gt;"", IFERROR(AVERAGE(M279,M267,M255), ""), "")</f>
        <v>0.29547537309334482</v>
      </c>
      <c r="O291" s="14" t="b">
        <f>IF(data[[#This Row],[Date]]&gt;MAX(data[Date])-750, TRUE, FALSE)</f>
        <v>1</v>
      </c>
      <c r="P291" s="37">
        <f t="shared" si="107"/>
        <v>0.62499999999999645</v>
      </c>
      <c r="Q291" s="3">
        <v>0.39</v>
      </c>
      <c r="R291">
        <v>3.6749999999999998</v>
      </c>
      <c r="T291" s="50">
        <v>21.603999999999999</v>
      </c>
      <c r="U291">
        <v>1.26</v>
      </c>
    </row>
    <row r="292" spans="1:21">
      <c r="A292" s="4">
        <v>45731</v>
      </c>
      <c r="B292">
        <f>YEAR(data[[#This Row],[Date]])</f>
        <v>2025</v>
      </c>
      <c r="C292" s="6">
        <f t="shared" si="111"/>
        <v>0.6</v>
      </c>
      <c r="D292" s="7">
        <f t="shared" si="112"/>
        <v>0.28999999999999998</v>
      </c>
      <c r="E292" s="7">
        <f t="shared" si="113"/>
        <v>0.1</v>
      </c>
      <c r="F292" s="20">
        <v>0.35049999999999998</v>
      </c>
      <c r="G292" s="16">
        <f>AVERAGE(0.295,0.3)</f>
        <v>0.29749999999999999</v>
      </c>
      <c r="H292" s="7">
        <f t="shared" si="64"/>
        <v>0.41</v>
      </c>
      <c r="I292" s="7">
        <v>0.38</v>
      </c>
      <c r="J292" s="7">
        <v>0</v>
      </c>
      <c r="K292" s="7">
        <v>0.31</v>
      </c>
      <c r="L292"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0.26399999999999996</v>
      </c>
      <c r="M292"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0.19259745295211678</v>
      </c>
      <c r="N292" s="36">
        <f>IF(data[[#This Row],[Weighted_Avg]]&lt;&gt;"", IFERROR(AVERAGE(M280,M268,M256), ""), "")</f>
        <v>0.28780714846313044</v>
      </c>
      <c r="O292" s="14" t="b">
        <f>IF(data[[#This Row],[Date]]&gt;MAX(data[Date])-750, TRUE, FALSE)</f>
        <v>1</v>
      </c>
      <c r="P292" s="37">
        <f t="shared" si="107"/>
        <v>0.64999999999999591</v>
      </c>
      <c r="Q292" s="3">
        <v>0.37</v>
      </c>
      <c r="T292" s="50">
        <v>22.315999999999999</v>
      </c>
      <c r="U292">
        <v>1.25</v>
      </c>
    </row>
    <row r="293" spans="1:21">
      <c r="A293" s="4">
        <v>45762</v>
      </c>
      <c r="B293">
        <f>YEAR(data[[#This Row],[Date]])</f>
        <v>2025</v>
      </c>
      <c r="C293" s="6">
        <f t="shared" si="111"/>
        <v>0.61</v>
      </c>
      <c r="D293" s="7">
        <f t="shared" si="112"/>
        <v>0.3</v>
      </c>
      <c r="E293" s="7">
        <f t="shared" si="113"/>
        <v>0.11</v>
      </c>
      <c r="F293" s="20">
        <v>0.36349999999999999</v>
      </c>
      <c r="G293" s="16">
        <f>AVERAGE(0.285,0.275)</f>
        <v>0.28000000000000003</v>
      </c>
      <c r="H293" s="7">
        <f t="shared" si="64"/>
        <v>0.42</v>
      </c>
      <c r="I293" s="7">
        <v>0.39</v>
      </c>
      <c r="J293" s="7">
        <v>0</v>
      </c>
      <c r="K293" s="7">
        <v>0.32</v>
      </c>
      <c r="L293" s="10">
        <f>IF(AND(IF(data[[#This Row],[Date]]&gt;=DATE(2022, 1, 1), data[[#This Row],[BNSF - 3.25 sp]], IF(data[[#This Row],[Date]]&gt;=DATE(2015, 2, 1), 0, IF(data[[#This Row],[Date]]&gt;DATE(2011, 3, 1), data[[#This Row],[BNSF - 2.50 sp]], data[[#This Row],[BNSF - 1.25 sp]])))&lt;&gt;"", data[[#This Row],[CN]]&lt;&gt;"", data[[#This Row],[CP]]&lt;&gt;"", data[[#This Row],[CSXT]]&lt;&gt;"", data[[#This Row],[KCS]]&lt;&gt;"", data[[#This Row],[NS]]&lt;&gt;"", data[[#This Row],[UP]]&lt;&gt;""), AVERAGE(IF(data[[#This Row],[Date]]&gt;=DATE(2022, 1, 1), data[[#This Row],[BNSF - 3.25 sp]], IF(data[[#This Row],[Date]]&gt;=DATE(2015, 2, 1), 0, IF(data[[#This Row],[Date]]&gt;DATE(2011, 3, 1), data[[#This Row],[BNSF - 2.50 sp]], data[[#This Row],[BNSF - 1.25 sp]]))), data[[#This Row],[CN]], data[[#This Row],[CP]], data[[#This Row],[CSXT]], data[[#This Row],[KCS]], data[[#This Row],[NS]], data[[#This Row],[UP]]), "")</f>
        <v>0.26907142857142857</v>
      </c>
      <c r="M293" s="16">
        <f>IF(data[[#This Row],[N_America]]&lt;&gt;"", IFERROR(SUM(IF(data[[#This Row],[Date]]&gt;=DATE(2022, 1, 1), data[[#This Row],[BNSF - 3.25 sp]], IF(data[[#This Row],[Date]]&gt;=DATE(2015, 2, 1), 0, IF(data[[#This Row],[Date]]&gt;DATE(2011, 3, 1), data[[#This Row],[BNSF - 2.50 sp]], data[[#This Row],[BNSF - 1.25 sp]])))*INDEX(Weights!$B:$B, MATCH(YEAR(data[[#This Row],[Date]]), Weights!$A:$A)),data[[#This Row],[CN]]*INDEX(Weights!$C:$C, MATCH(YEAR(data[[#This Row],[Date]]), Weights!$A:$A)),data[[#This Row],[CP]]*INDEX(Weights!$D:$D, MATCH(YEAR(data[[#This Row],[Date]]), Weights!$A:$A)),data[[#This Row],[CSXT]]*INDEX(Weights!$E:$E, MATCH(YEAR(data[[#This Row],[Date]]), Weights!$A:$A)),data[[#This Row],[KCS]]*INDEX(Weights!$F:$F, MATCH(YEAR(data[[#This Row],[Date]]), Weights!$A:$A)),data[[#This Row],[NS]]*INDEX(Weights!$G:$G, MATCH(YEAR(data[[#This Row],[Date]]), Weights!$A:$A)),data[[#This Row],[UP]]*INDEX(Weights!$H:$H, MATCH(YEAR(data[[#This Row],[Date]]), Weights!$A:$A))), ""), "")</f>
        <v>0.19955407222940244</v>
      </c>
      <c r="N293" s="36">
        <f>IF(data[[#This Row],[Weighted_Avg]]&lt;&gt;"", IFERROR(AVERAGE(M281,M269,M257), ""), "")</f>
        <v>0.31182556555425311</v>
      </c>
      <c r="O293" s="14" t="b">
        <f>IF(data[[#This Row],[Date]]&gt;MAX(data[Date])-750, TRUE, FALSE)</f>
        <v>1</v>
      </c>
      <c r="P293" s="37">
        <f t="shared" si="107"/>
        <v>0.64499999999999602</v>
      </c>
      <c r="Q293" s="3">
        <v>0.37</v>
      </c>
      <c r="T293" s="50">
        <v>22.148</v>
      </c>
      <c r="U293">
        <v>1.25</v>
      </c>
    </row>
    <row r="295" spans="1:21">
      <c r="B295" s="46"/>
      <c r="G295" s="46"/>
    </row>
    <row r="296" spans="1:21">
      <c r="B296" s="46"/>
      <c r="G296" s="46"/>
    </row>
    <row r="297" spans="1:21">
      <c r="B297" s="46"/>
      <c r="G297" s="46"/>
    </row>
    <row r="298" spans="1:21">
      <c r="B298" s="46"/>
      <c r="G298" s="46"/>
      <c r="K298" s="51"/>
    </row>
    <row r="299" spans="1:21">
      <c r="B299" s="46"/>
      <c r="G299" s="46"/>
    </row>
    <row r="300" spans="1:21">
      <c r="B300" s="46"/>
      <c r="G300" s="46"/>
    </row>
    <row r="301" spans="1:21">
      <c r="B301" s="46"/>
      <c r="G301" s="46"/>
    </row>
    <row r="302" spans="1:21">
      <c r="B302" s="46"/>
      <c r="G302" s="46"/>
    </row>
    <row r="303" spans="1:21">
      <c r="B303" s="46"/>
      <c r="G303" s="46"/>
    </row>
    <row r="304" spans="1:21">
      <c r="B304" s="46"/>
      <c r="G304" s="46"/>
    </row>
    <row r="305" spans="2:7">
      <c r="B305" s="46"/>
      <c r="G305" s="46"/>
    </row>
    <row r="306" spans="2:7">
      <c r="B306" s="46"/>
      <c r="G306" s="46"/>
    </row>
    <row r="307" spans="2:7">
      <c r="B307" s="46"/>
      <c r="G307" s="46"/>
    </row>
    <row r="308" spans="2:7">
      <c r="B308" s="46"/>
      <c r="G308" s="46"/>
    </row>
    <row r="309" spans="2:7">
      <c r="B309" s="46"/>
      <c r="G309" s="46"/>
    </row>
    <row r="310" spans="2:7">
      <c r="B310" s="46"/>
      <c r="G310" s="46"/>
    </row>
    <row r="311" spans="2:7">
      <c r="B311" s="46"/>
      <c r="G311" s="46"/>
    </row>
    <row r="312" spans="2:7">
      <c r="G312" s="46"/>
    </row>
    <row r="313" spans="2:7">
      <c r="G313" s="46"/>
    </row>
  </sheetData>
  <phoneticPr fontId="3" type="noConversion"/>
  <pageMargins left="0.75" right="0.75" top="1" bottom="1" header="0.5" footer="0.5"/>
  <pageSetup scale="70" orientation="landscape" r:id="rId1"/>
  <headerFooter alignWithMargins="0"/>
  <ignoredErrors>
    <ignoredError sqref="G235" 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92179-5662-4D0A-8E10-65E39485A793}">
  <dimension ref="A1:U29"/>
  <sheetViews>
    <sheetView tabSelected="1" zoomScaleNormal="100" workbookViewId="0">
      <selection activeCell="N18" sqref="N18"/>
    </sheetView>
  </sheetViews>
  <sheetFormatPr defaultRowHeight="12.75"/>
  <cols>
    <col min="10" max="10" width="12.140625" customWidth="1"/>
    <col min="11" max="11" width="4.85546875" customWidth="1"/>
    <col min="13" max="13" width="15" bestFit="1" customWidth="1"/>
    <col min="14" max="14" width="11.5703125" bestFit="1" customWidth="1"/>
    <col min="15" max="15" width="7.5703125" bestFit="1" customWidth="1"/>
    <col min="16" max="16" width="13.7109375" bestFit="1" customWidth="1"/>
    <col min="17" max="17" width="16.85546875" bestFit="1" customWidth="1"/>
    <col min="18" max="18" width="13.42578125" customWidth="1"/>
    <col min="19" max="19" width="13.85546875" bestFit="1" customWidth="1"/>
    <col min="20" max="20" width="29.42578125" bestFit="1" customWidth="1"/>
    <col min="21" max="21" width="23.42578125" bestFit="1" customWidth="1"/>
  </cols>
  <sheetData>
    <row r="1" spans="1:21">
      <c r="A1" s="56"/>
      <c r="S1" s="22" t="s">
        <v>29</v>
      </c>
      <c r="T1" t="s">
        <v>39</v>
      </c>
    </row>
    <row r="2" spans="1:21" ht="14.25">
      <c r="A2" s="57"/>
    </row>
    <row r="3" spans="1:21">
      <c r="S3" s="22" t="s">
        <v>19</v>
      </c>
      <c r="T3" t="s">
        <v>40</v>
      </c>
      <c r="U3" t="s">
        <v>41</v>
      </c>
    </row>
    <row r="4" spans="1:21" ht="13.5" thickBot="1">
      <c r="S4" s="12">
        <v>45031</v>
      </c>
      <c r="T4">
        <v>0.36341828638099277</v>
      </c>
      <c r="U4">
        <v>0.13746158254438659</v>
      </c>
    </row>
    <row r="5" spans="1:21" ht="15">
      <c r="L5" s="6"/>
      <c r="M5" s="29">
        <f>YEAR(MAX(data[Date]))</f>
        <v>2025</v>
      </c>
      <c r="N5" s="33" t="s">
        <v>42</v>
      </c>
      <c r="O5" s="38" t="s">
        <v>43</v>
      </c>
      <c r="P5" s="38" t="s">
        <v>44</v>
      </c>
      <c r="Q5" s="34" t="s">
        <v>45</v>
      </c>
      <c r="S5" s="12">
        <v>45061</v>
      </c>
      <c r="T5">
        <v>0.32250614552397117</v>
      </c>
      <c r="U5">
        <v>0.21189641518776672</v>
      </c>
    </row>
    <row r="6" spans="1:21" ht="15">
      <c r="M6" s="30" t="str">
        <f>TEXT(MAX(data[Date]), "mmmm")</f>
        <v>April</v>
      </c>
      <c r="N6" s="27">
        <f>ROUND(INDEX(data[], MATCH(MAX(data[Date]), data[Date]), 13), 2)</f>
        <v>0.2</v>
      </c>
      <c r="O6" s="39"/>
      <c r="P6" s="42"/>
      <c r="Q6" s="25"/>
      <c r="R6" s="3"/>
      <c r="S6" s="12">
        <v>45092</v>
      </c>
      <c r="T6">
        <v>0.29526619643614765</v>
      </c>
      <c r="U6">
        <v>0.2081942378584081</v>
      </c>
    </row>
    <row r="7" spans="1:21" ht="15">
      <c r="M7" s="31" t="str">
        <f>TEXT(DATE(YEAR(MAX(data[Date])), MONTH(MAX(data[Date]))-1, 1), "mmmm")</f>
        <v>March</v>
      </c>
      <c r="N7" s="27">
        <f>ROUND(INDEX(data[],MATCH(MAX(data[Date]),data[Date])-1,13), 2)</f>
        <v>0.19</v>
      </c>
      <c r="O7" s="39">
        <f>ROUND(N6-N7, 2)</f>
        <v>0.01</v>
      </c>
      <c r="P7" s="42" t="str">
        <f>IF(O7&gt;=0.01, "up "&amp;100*ROUND(ABS(O7),3)&amp;IF(100*ROUND(ABS(O7),3)=1, " cent", " cents"), IF(O7&lt;=-0.01, "down "&amp;100*ROUND(ABS(O7),3)&amp;IF(OR(O7&gt;0.01, O7&lt;-0.01), " cents", " cent"), "unchanged"))</f>
        <v>up 1 cent</v>
      </c>
      <c r="Q7" s="25" t="str">
        <f>IF(O7&gt;=0.01, "up "&amp;100*ROUND(ABS((N6/N7)-1), 2)&amp;" percent", IF(O7&lt;=-0.01, "down "&amp;100*ROUND(ABS((N6/N7)-1), 2)&amp;" percent", "unchanged"))</f>
        <v>up 5 percent</v>
      </c>
      <c r="R7" s="3"/>
      <c r="S7" s="12">
        <v>45122</v>
      </c>
      <c r="T7">
        <v>0.25777217691981336</v>
      </c>
      <c r="U7">
        <v>0.23946521911135213</v>
      </c>
    </row>
    <row r="8" spans="1:21" ht="15">
      <c r="M8" s="31" t="str">
        <f>M6&amp;" "&amp;M5-1</f>
        <v>April 2024</v>
      </c>
      <c r="N8" s="27">
        <f>ROUND(INDEX(data[],MATCH(MAX(data[Date]),data[Date])-12,13), 2)</f>
        <v>0.28000000000000003</v>
      </c>
      <c r="O8" s="39">
        <f>ROUND(N6-N8, 2)</f>
        <v>-0.08</v>
      </c>
      <c r="P8" s="42" t="str">
        <f>IF(O8&gt;=0.01, "up "&amp;100*ROUND(ABS(O8),3)&amp;IF(100*ROUND(ABS(O8),3)=1, " cent", " cents"), IF(O8&lt;=-0.01, "down "&amp;100*ROUND(ABS(O8),3)&amp;IF(100*ROUND(ABS(O8),3)=1, " cent", " cents"), "unchanged"))</f>
        <v>down 8 cents</v>
      </c>
      <c r="Q8" s="25" t="str">
        <f>IF(O8&gt;=0.01,"up "&amp;100*ROUND(ABS((N6/N8)-1), 2)&amp;" percent", IF(O8&lt;=-0.01, "down "&amp;100*ROUND(ABS((N6/N8)-1), 2)&amp;" percent", "unchanged"))</f>
        <v>down 29 percent</v>
      </c>
      <c r="R8" s="3"/>
      <c r="S8" s="12">
        <v>45153</v>
      </c>
      <c r="T8">
        <v>0.23669496308867205</v>
      </c>
      <c r="U8">
        <v>0.2523403679820132</v>
      </c>
    </row>
    <row r="9" spans="1:21" ht="15.75" thickBot="1">
      <c r="M9" s="32" t="s">
        <v>46</v>
      </c>
      <c r="N9" s="28">
        <f>ROUND(INDEX(data[], MATCH(MAX(data[Date]), data[Date]), 14), 2)</f>
        <v>0.31</v>
      </c>
      <c r="O9" s="40">
        <f>ROUND(N6-N9, 2)</f>
        <v>-0.11</v>
      </c>
      <c r="P9" s="43" t="str">
        <f>IF(O9&gt;=0.01, "up "&amp;100*ROUND(ABS(O9),3)&amp;IF(100*ROUND(ABS(O9),3)=1, " cent", " cents"), IF(O9&lt;=-0.01, "down "&amp;100*ROUND(ABS(O9),3)&amp;" cents", "unchanged"))</f>
        <v>down 11 cents</v>
      </c>
      <c r="Q9" s="26" t="str">
        <f>IF(O9&gt;=0.01,"up "&amp;100*ROUND(ABS((N6/N9)-1),2)&amp;" percent",IF(O9&lt;=-0.01,"down "&amp;100*ROUND(ABS((N6/N9)-1),2)&amp;" percent","unchanged"))</f>
        <v>down 35 percent</v>
      </c>
      <c r="S9" s="12">
        <v>45184</v>
      </c>
      <c r="T9">
        <v>0.25758743487484093</v>
      </c>
      <c r="U9">
        <v>0.23264554995759268</v>
      </c>
    </row>
    <row r="10" spans="1:21">
      <c r="S10" s="12">
        <v>45214</v>
      </c>
      <c r="T10">
        <v>0.35957352227407724</v>
      </c>
      <c r="U10">
        <v>0.20463267584337042</v>
      </c>
    </row>
    <row r="11" spans="1:21">
      <c r="S11" s="12">
        <v>45245</v>
      </c>
      <c r="T11">
        <v>0.39379115740347903</v>
      </c>
      <c r="U11">
        <v>0.20441033763721014</v>
      </c>
    </row>
    <row r="12" spans="1:21">
      <c r="M12" t="str">
        <f>M6&amp;" "&amp;M5&amp;": $"&amp;TEXT(ROUND(N6,2), "0.00")&amp;"/mile, "&amp;P7&amp;" from last month's surcharge of $"&amp;ROUND(N7, 2)&amp;"/mile; "&amp;P8&amp;" from the "&amp;M6&amp;" "&amp;M5-1&amp;" surcharge of $"&amp;ROUND(N8, 2)&amp;"/mile; and "&amp;P9&amp;" from the "&amp;M6&amp;" prior 3-year average of $"&amp;ROUND(N9, 2)&amp;"/mile."</f>
        <v>April 2025: $0.20/mile, up 1 cent from last month's surcharge of $0.19/mile; down 8 cents from the April 2024 surcharge of $0.28/mile; and down 11 cents from the April prior 3-year average of $0.31/mile.</v>
      </c>
      <c r="S12" s="12">
        <v>45275</v>
      </c>
      <c r="T12">
        <v>0.38195265549427238</v>
      </c>
      <c r="U12">
        <v>0.22752971847232162</v>
      </c>
    </row>
    <row r="13" spans="1:21">
      <c r="N13" s="35"/>
      <c r="O13" s="35"/>
      <c r="P13" s="35"/>
      <c r="S13" s="12">
        <v>45306</v>
      </c>
      <c r="T13">
        <v>0.32100714682466214</v>
      </c>
      <c r="U13">
        <v>0.25869477980257705</v>
      </c>
    </row>
    <row r="14" spans="1:21">
      <c r="N14" s="41"/>
      <c r="O14" s="35"/>
      <c r="P14" s="35"/>
      <c r="S14" s="12">
        <v>45337</v>
      </c>
      <c r="T14">
        <v>0.26382401210177786</v>
      </c>
      <c r="U14">
        <v>0.21975390046559204</v>
      </c>
    </row>
    <row r="15" spans="1:21">
      <c r="S15" s="12">
        <v>45366</v>
      </c>
      <c r="T15">
        <v>0.24440722403652593</v>
      </c>
      <c r="U15">
        <v>0.22141176892904943</v>
      </c>
    </row>
    <row r="16" spans="1:21">
      <c r="A16" s="13"/>
      <c r="N16" s="52"/>
      <c r="O16" s="35"/>
      <c r="P16" s="35"/>
      <c r="S16" s="12">
        <v>45397</v>
      </c>
      <c r="T16">
        <v>0.2764855475936292</v>
      </c>
      <c r="U16">
        <v>0.23973395412375711</v>
      </c>
    </row>
    <row r="17" spans="1:21">
      <c r="A17" s="13"/>
      <c r="N17" s="35"/>
      <c r="O17" s="35"/>
      <c r="P17" s="35"/>
      <c r="S17" s="12">
        <v>45427</v>
      </c>
      <c r="T17">
        <v>0.27530094190595122</v>
      </c>
      <c r="U17">
        <v>0.30559218094563367</v>
      </c>
    </row>
    <row r="18" spans="1:21">
      <c r="A18" s="13"/>
      <c r="S18" s="12">
        <v>45458</v>
      </c>
      <c r="T18">
        <v>0.26805546333027375</v>
      </c>
      <c r="U18">
        <v>0.29848314700932138</v>
      </c>
    </row>
    <row r="19" spans="1:21" ht="15" customHeight="1">
      <c r="A19" s="13"/>
      <c r="S19" s="12">
        <v>45488</v>
      </c>
      <c r="T19">
        <v>0.23228903000626361</v>
      </c>
      <c r="U19">
        <v>0.31919741733637558</v>
      </c>
    </row>
    <row r="20" spans="1:21">
      <c r="A20" s="13"/>
      <c r="S20" s="12">
        <v>45519</v>
      </c>
      <c r="T20">
        <v>0.21241092469085709</v>
      </c>
      <c r="U20">
        <v>0.32412495557761029</v>
      </c>
    </row>
    <row r="21" spans="1:21">
      <c r="A21" s="13"/>
      <c r="S21" s="12">
        <v>45550</v>
      </c>
      <c r="T21">
        <v>0.23174420182235758</v>
      </c>
      <c r="U21">
        <v>0.31121818897224679</v>
      </c>
    </row>
    <row r="22" spans="1:21" ht="12.75" customHeight="1">
      <c r="A22" s="13"/>
      <c r="S22" s="12">
        <v>45580</v>
      </c>
      <c r="T22">
        <v>0.2074871556488751</v>
      </c>
      <c r="U22">
        <v>0.31725841859760978</v>
      </c>
    </row>
    <row r="23" spans="1:21">
      <c r="A23" s="58"/>
      <c r="S23" s="12">
        <v>45611</v>
      </c>
      <c r="T23">
        <v>0.17752291498422279</v>
      </c>
      <c r="U23">
        <v>0.32879128843043548</v>
      </c>
    </row>
    <row r="24" spans="1:21">
      <c r="A24" s="13"/>
      <c r="S24" s="12">
        <v>45641</v>
      </c>
      <c r="T24">
        <v>0.18268348257020961</v>
      </c>
      <c r="U24">
        <v>0.34863171317032188</v>
      </c>
    </row>
    <row r="25" spans="1:21">
      <c r="A25" s="13"/>
      <c r="S25" s="12">
        <v>45672</v>
      </c>
      <c r="T25">
        <v>0.16879907848143827</v>
      </c>
      <c r="U25">
        <v>0.35729918791661319</v>
      </c>
    </row>
    <row r="26" spans="1:21">
      <c r="A26" s="13"/>
      <c r="S26" s="12">
        <v>45703</v>
      </c>
      <c r="T26">
        <v>0.16663494415198227</v>
      </c>
      <c r="U26">
        <v>0.29547537309334482</v>
      </c>
    </row>
    <row r="27" spans="1:21">
      <c r="S27" s="12">
        <v>45731</v>
      </c>
      <c r="T27">
        <v>0.19259745295211678</v>
      </c>
      <c r="U27">
        <v>0.28780714846313044</v>
      </c>
    </row>
    <row r="28" spans="1:21">
      <c r="C28" s="6"/>
      <c r="D28" s="6"/>
      <c r="S28" s="12">
        <v>45762</v>
      </c>
      <c r="T28">
        <v>0.19955407222940244</v>
      </c>
      <c r="U28">
        <v>0.31182556555425311</v>
      </c>
    </row>
    <row r="29" spans="1:21">
      <c r="S29" s="12" t="s">
        <v>21</v>
      </c>
      <c r="T29">
        <v>6.4893661317268139</v>
      </c>
      <c r="U29">
        <v>6.6638750929822947</v>
      </c>
    </row>
  </sheetData>
  <pageMargins left="0.75" right="0.75" top="1" bottom="1" header="0.5" footer="0.5"/>
  <pageSetup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e a 1 2 d 0 8 b - 0 2 9 a - 4 2 4 e - 9 6 3 0 - d 0 a 6 d 8 1 3 d 2 8 0 "   x m l n s = " h t t p : / / s c h e m a s . m i c r o s o f t . c o m / D a t a M a s h u p " > A A A A A F I E A A B Q S w M E F A A C A A g A 8 2 l k 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P N p Z 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a W R a x + R C u E s B A A A C A g A A E w A c A E Z v c m 1 1 b G F z L 1 N l Y 3 R p b 2 4 x L m 0 g o h g A K K A U A A A A A A A A A A A A A A A A A A A A A A A A A A A A b V B d S 8 N A E H w P 5 D 8 c M T Q J x M S C H 2 A J U l J Q X / y g B R 9 E 5 J q s 6 e H l L u 5 t q q H 0 v 3 t p W k T o v t z d z u 7 c z B g o S G j F 5 s M 5 n r i O 6 5 g V R y j Z c w v Y j V n G J J D r M F t z 3 W I B t p O b d T L T R V u D o v A F l k m u F d m 7 C b 0 V U W O u 0 5 R X h F y Z R i M l r S l 5 U u l 1 i m B 2 F C k t r 7 5 O P 9 W F S A q z v v E N S C s g 6 4 B j z J A L i Z q X M T N t H R Y c p X 2 Y a O R / r w A h K 3 R d 6 1 J Q l w W 3 d l Q F b P o w Y 9 Q 1 k A W P K C q h O E E Z j P w K d d s M n A f K k S 9 F L S g b n 9 n y o i g e f J 1 4 T 6 h r b d f Y H f A S 0 H j W 5 I I v J S R 7 Z N 8 P h w h i 9 r r v T 6 W c F 1 x y N B l h C 2 9 / l P m K q 8 o y L q y y P 7 p F H 8 q H x j r X s q 1 V D 5 r w y P / x Z u P 1 0 r 2 Y 3 S u 6 P E / 6 y W 3 M N t 7 B i 0 V 6 0 4 z g h 3 a A T e v 9 k N b / t W 3 k O k I d F T b 5 B V B L A Q I t A B Q A A g A I A P N p Z F o 2 4 z 8 f p Q A A A P c A A A A S A A A A A A A A A A A A A A A A A A A A A A B D b 2 5 m a W c v U G F j a 2 F n Z S 5 4 b W x Q S w E C L Q A U A A I A C A D z a W R a D 8 r p q 6 Q A A A D p A A A A E w A A A A A A A A A A A A A A A A D x A A A A W 0 N v b n R l b n R f V H l w Z X N d L n h t b F B L A Q I t A B Q A A g A I A P N p Z F r H 5 E K 4 S w E A A A I C A A A T A A A A A A A A A A A A A A A A A O I B A A B G b 3 J t d W x h c y 9 T Z W N 0 a W 9 u M S 5 t U E s F B g A A A A A D A A M A w g A A A H o 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M K A A A A A A A A o 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M T w v S X R l b V B h d G g + P C 9 J d G V t T G 9 j Y X R p b 2 4 + P F N 0 Y W J s Z U V u d H J p Z X M + P E V u d H J 5 I F R 5 c G U 9 I k l z U H J p d m F 0 Z S I g V m F s d W U 9 I m w w I i A v P j x F b n R y e S B U e X B l P S J R d W V y e U l E I i B W Y W x 1 Z T 0 i c z k 5 M m R m Z G Q 4 L W Y 3 N m I t N G R h N C 0 5 M z c 5 L T l k Y z d j Z T M x Y T c 3 Y i I g L z 4 8 R W 5 0 c n k g V H l w Z T 0 i R m l s b E V u Y W J s Z W Q i I F Z h b H V l P S J s M C I g L z 4 8 R W 5 0 c n k g V H l w Z T 0 i R m l s b E 9 i a m V j d F R 5 c G U i I F Z h b H V l P S J z U G l 2 b 3 R 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X Z W l n a H R z I i A v P j x F b n R y e S B U e X B l P S J S Z W N v d m V y e V R h c m d l d E N v b H V t b i I g V m F s d W U 9 I m w y I i A v P j x F b n R y e S B U e X B l P S J S Z W N v d m V y e V R h c m d l d F J v d y I g V m F s d W U 9 I m w x O S I g L z 4 8 R W 5 0 c n k g V H l w Z T 0 i U G l 2 b 3 R P Y m p l Y 3 R O Y W 1 l I i B W Y W x 1 Z T 0 i c 1 d l a W d o d H M h U G l 2 b 3 R U Y W J s Z T M i I C 8 + P E V u d H J 5 I F R 5 c G U 9 I k Z p b G x l Z E N v b X B s Z X R l U m V z d W x 0 V G 9 X b 3 J r c 2 h l Z X Q i I F Z h b H V l P S J s M C I g L z 4 8 R W 5 0 c n k g V H l w Z T 0 i R m l s b E N v d W 5 0 I i B W Y W x 1 Z T 0 i b D Y z I i A v P j x F b n R y e S B U e X B l P S J G a W x s R X J y b 3 J D b 2 R l I i B W Y W x 1 Z T 0 i c 1 V u a 2 5 v d 2 4 i I C 8 + P E V u d H J 5 I F R 5 c G U 9 I k Z p b G x F c n J v c k N v d W 5 0 I i B W Y W x 1 Z T 0 i b D A i I C 8 + P E V u d H J 5 I F R 5 c G U 9 I k Z p b G x M Y X N 0 V X B k Y X R l Z C I g V m F s d W U 9 I m Q y M D I 1 L T A z L T A 0 V D I w O j E 1 O j M 5 L j Q x O D M 1 O D d a I i A v P j x F b n R y e S B U e X B l P S J G a W x s Q 2 9 s d W 1 u V H l w Z X M i I F Z h b H V l P S J z Q X d Z R C I g L z 4 8 R W 5 0 c n k g V H l w Z T 0 i R m l s b E N v b H V t b k 5 h b W V z I i B W Y W x 1 Z T 0 i c 1 s m c X V v d D t 5 Z W F y J n F 1 b 3 Q 7 L C Z x d W 9 0 O 3 J h a W x y b 2 F k J n F 1 b 3 Q 7 L C Z x d W 9 0 O 3 N 1 b V 9 j Y X J s b 2 F k c y Z x d W 9 0 O 1 0 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U X V l c n k x L 0 F 1 d G 9 S Z W 1 v d m V k Q 2 9 s d W 1 u c z E u e 3 l l Y X I s M H 0 m c X V v d D s s J n F 1 b 3 Q 7 U 2 V j d G l v b j E v U X V l c n k x L 0 F 1 d G 9 S Z W 1 v d m V k Q 2 9 s d W 1 u c z E u e 3 J h a W x y b 2 F k L D F 9 J n F 1 b 3 Q 7 L C Z x d W 9 0 O 1 N l Y 3 R p b 2 4 x L 1 F 1 Z X J 5 M S 9 B d X R v U m V t b 3 Z l Z E N v b H V t b n M x L n t z d W 1 f Y 2 F y b G 9 h Z H M s M n 0 m c X V v d D t d L C Z x d W 9 0 O 0 N v b H V t b k N v d W 5 0 J n F 1 b 3 Q 7 O j M s J n F 1 b 3 Q 7 S 2 V 5 Q 2 9 s d W 1 u T m F t Z X M m c X V v d D s 6 W 1 0 s J n F 1 b 3 Q 7 Q 2 9 s d W 1 u S W R l b n R p d G l l c y Z x d W 9 0 O z p b J n F 1 b 3 Q 7 U 2 V j d G l v b j E v U X V l c n k x L 0 F 1 d G 9 S Z W 1 v d m V k Q 2 9 s d W 1 u c z E u e 3 l l Y X I s M H 0 m c X V v d D s s J n F 1 b 3 Q 7 U 2 V j d G l v b j E v U X V l c n k x L 0 F 1 d G 9 S Z W 1 v d m V k Q 2 9 s d W 1 u c z E u e 3 J h a W x y b 2 F k L D F 9 J n F 1 b 3 Q 7 L C Z x d W 9 0 O 1 N l Y 3 R p b 2 4 x L 1 F 1 Z X J 5 M S 9 B d X R v U m V t b 3 Z l Z E N v b H V t b n M x L n t z d W 1 f Y 2 F y b G 9 h Z H M s M n 0 m c X V v d D t d L C Z x d W 9 0 O 1 J l b G F 0 a W 9 u c 2 h p c E l u Z m 8 m c X V v d D s 6 W 1 1 9 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R d W V y e T E v U H J v b W 9 0 Z W Q l M j B I Z W F k Z X J z P C 9 J d G V t U G F 0 a D 4 8 L 0 l 0 Z W 1 M b 2 N h d G l v b j 4 8 U 3 R h Y m x l R W 5 0 c m l l c y A v P j w v S X R l b T 4 8 S X R l b T 4 8 S X R l b U x v Y 2 F 0 a W 9 u P j x J d G V t V H l w Z T 5 G b 3 J t d W x h P C 9 J d G V t V H l w Z T 4 8 S X R l b V B h d G g + U 2 V j d G l v b j E v U X V l c n k x L 0 N o Y W 5 n Z W Q l M j B U e X B l P C 9 J d G V t U G F 0 a D 4 8 L 0 l 0 Z W 1 M b 2 N h d G l v b j 4 8 U 3 R h Y m x l R W 5 0 c m l l c y A v P j w v S X R l b T 4 8 L 0 l 0 Z W 1 z P j w v T G 9 j Y W x Q Y W N r Y W d l T W V 0 Y W R h d G F G a W x l P h Y A A A B Q S w U G A A A A A A A A A A A A A A A A A A A A A A A A 2 g A A A A E A A A D Q j J 3 f A R X R E Y x 6 A M B P w p f r A Q A A A C T h b + k H y g 1 G h I g 6 s 9 H Q E d o A A A A A A g A A A A A A A 2 Y A A M A A A A A Q A A A A Z O + 9 D V L Y e V v 1 k q p o s x S M z g A A A A A E g A A A o A A A A B A A A A A w g K D E 3 R b T K / c J Y S C D M 8 8 N U A A A A P 6 L s S 7 H 8 b / a 5 9 2 O X k k m d t Z X G w k 7 2 g R a y E d R 2 7 z 3 m s s N F w q n m g z K k Y + Z g r j + U 9 D M M b L M V t B F u t Z 8 x 0 p z F D 2 b F 1 z 3 s 4 + k v N n v C 0 M T 0 l R 7 m E 5 + F A A A A E / h W c K Z t J n 3 d R N Y 0 u r X L + B T c N I 5 < / 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223DDEDC800E4280A4B5233603458F" ma:contentTypeVersion="18" ma:contentTypeDescription="Create a new document." ma:contentTypeScope="" ma:versionID="83b7ff06d2e1e5402c4b79d6fe885981">
  <xsd:schema xmlns:xsd="http://www.w3.org/2001/XMLSchema" xmlns:xs="http://www.w3.org/2001/XMLSchema" xmlns:p="http://schemas.microsoft.com/office/2006/metadata/properties" xmlns:ns1="http://schemas.microsoft.com/sharepoint/v3" xmlns:ns2="120c0c3c-e3eb-4d7e-a85c-a5358f1a759a" xmlns:ns3="c4a67dfe-cdec-447a-851b-01cb3a16d5cf" xmlns:ns4="73fb875a-8af9-4255-b008-0995492d31cd" targetNamespace="http://schemas.microsoft.com/office/2006/metadata/properties" ma:root="true" ma:fieldsID="b2135f98bfdb937ea1b14b077ec4f53e" ns1:_="" ns2:_="" ns3:_="" ns4:_="">
    <xsd:import namespace="http://schemas.microsoft.com/sharepoint/v3"/>
    <xsd:import namespace="120c0c3c-e3eb-4d7e-a85c-a5358f1a759a"/>
    <xsd:import namespace="c4a67dfe-cdec-447a-851b-01cb3a16d5c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d"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CR"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c0c3c-e3eb-4d7e-a85c-a5358f1a7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d" ma:index="13" nillable="true" ma:displayName="Ed" ma:format="Dropdown" ma:list="UserInfo" ma:SharePointGroup="0" ma:internalName="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67dfe-cdec-447a-851b-01cb3a16d5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a5537f-d120-46d8-8887-a026cf6709db}" ma:internalName="TaxCatchAll" ma:showField="CatchAllData" ma:web="c4a67dfe-cdec-447a-851b-01cb3a16d5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120c0c3c-e3eb-4d7e-a85c-a5358f1a759a">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Ed xmlns="120c0c3c-e3eb-4d7e-a85c-a5358f1a759a">
      <UserInfo>
        <DisplayName/>
        <AccountId xsi:nil="true"/>
        <AccountType/>
      </UserInfo>
    </Ed>
    <SharedWithUsers xmlns="c4a67dfe-cdec-447a-851b-01cb3a16d5cf">
      <UserInfo>
        <DisplayName/>
        <AccountId xsi:nil="true"/>
        <AccountType/>
      </UserInfo>
    </SharedWithUsers>
  </documentManagement>
</p:properties>
</file>

<file path=customXml/itemProps1.xml><?xml version="1.0" encoding="utf-8"?>
<ds:datastoreItem xmlns:ds="http://schemas.openxmlformats.org/officeDocument/2006/customXml" ds:itemID="{F019F824-5CCE-4FAA-85A6-E56629092FEA}">
  <ds:schemaRefs>
    <ds:schemaRef ds:uri="http://schemas.microsoft.com/DataMashup"/>
  </ds:schemaRefs>
</ds:datastoreItem>
</file>

<file path=customXml/itemProps2.xml><?xml version="1.0" encoding="utf-8"?>
<ds:datastoreItem xmlns:ds="http://schemas.openxmlformats.org/officeDocument/2006/customXml" ds:itemID="{A2EF6526-E57B-4230-B8B8-1EC4AF023E71}">
  <ds:schemaRefs>
    <ds:schemaRef ds:uri="http://schemas.microsoft.com/sharepoint/v3/contenttype/forms"/>
  </ds:schemaRefs>
</ds:datastoreItem>
</file>

<file path=customXml/itemProps3.xml><?xml version="1.0" encoding="utf-8"?>
<ds:datastoreItem xmlns:ds="http://schemas.openxmlformats.org/officeDocument/2006/customXml" ds:itemID="{F09A168C-A48B-44F6-9FCB-A701E0C28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c0c3c-e3eb-4d7e-a85c-a5358f1a759a"/>
    <ds:schemaRef ds:uri="c4a67dfe-cdec-447a-851b-01cb3a16d5c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1901BF-DD94-448E-AAE8-533F42064A3F}">
  <ds:schemaRefs>
    <ds:schemaRef ds:uri="http://schemas.microsoft.com/office/2006/metadata/properties"/>
    <ds:schemaRef ds:uri="http://schemas.microsoft.com/office/infopath/2007/PartnerControls"/>
    <ds:schemaRef ds:uri="73fb875a-8af9-4255-b008-0995492d31cd"/>
    <ds:schemaRef ds:uri="120c0c3c-e3eb-4d7e-a85c-a5358f1a759a"/>
    <ds:schemaRef ds:uri="http://schemas.microsoft.com/sharepoint/v3"/>
    <ds:schemaRef ds:uri="c4a67dfe-cdec-447a-851b-01cb3a16d5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Notes</vt:lpstr>
      <vt:lpstr>Weights</vt:lpstr>
      <vt:lpstr>data</vt:lpstr>
      <vt:lpstr>GTR Figure</vt:lpstr>
      <vt:lpstr>'GTR Figure'!Print_Area</vt:lpstr>
    </vt:vector>
  </TitlesOfParts>
  <Manager/>
  <Company>USDA\AMS\TM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Marvin Prater</dc:creator>
  <cp:keywords/>
  <dc:description/>
  <cp:lastModifiedBy>Jesse Gastelle - MRP-AMS</cp:lastModifiedBy>
  <cp:revision/>
  <cp:lastPrinted>2025-03-31T20:58:57Z</cp:lastPrinted>
  <dcterms:created xsi:type="dcterms:W3CDTF">2004-10-13T20:30:39Z</dcterms:created>
  <dcterms:modified xsi:type="dcterms:W3CDTF">2025-03-31T20:59:23Z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0x0101003A223DDEDC800E4280A4B5233603458F</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