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ttps://usdagcc.sharepoint.com/sites/MRP-AMS-TM-TSD/Shared Documents/GTR/WebZip Files/"/>
    </mc:Choice>
  </mc:AlternateContent>
  <xr:revisionPtr revIDLastSave="0" documentId="8_{C6FCF537-A646-4794-AFCC-AC16F477781E}" xr6:coauthVersionLast="47" xr6:coauthVersionMax="47" xr10:uidLastSave="{00000000-0000-0000-0000-000000000000}"/>
  <bookViews>
    <workbookView xWindow="28680" yWindow="-120" windowWidth="29040" windowHeight="15720" activeTab="2" xr2:uid="{00000000-000D-0000-FFFF-FFFF00000000}"/>
  </bookViews>
  <sheets>
    <sheet name="Socrata_Data" sheetId="4" r:id="rId1"/>
    <sheet name="DB barges vs UL NO barges" sheetId="2" state="hidden" r:id="rId2"/>
    <sheet name="Redesign" sheetId="6" r:id="rId3"/>
    <sheet name="Data" sheetId="1" r:id="rId4"/>
    <sheet name="Figure text" sheetId="5" r:id="rId5"/>
    <sheet name="Sheet1" sheetId="3" state="hidden" r:id="rId6"/>
  </sheets>
  <definedNames>
    <definedName name="_xlnm.Print_Area" localSheetId="2">Redesign!$C$3:$O$24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25" i="1" l="1"/>
  <c r="E1025" i="1"/>
  <c r="I1025" i="1" s="1"/>
  <c r="H1025" i="1"/>
  <c r="K1025" i="1"/>
  <c r="L1025" i="1"/>
  <c r="A1024" i="1"/>
  <c r="E1024" i="1"/>
  <c r="G1024" i="1"/>
  <c r="H1024" i="1"/>
  <c r="I1024" i="1"/>
  <c r="J1024" i="1"/>
  <c r="K1024" i="1"/>
  <c r="L1024" i="1"/>
  <c r="A1023" i="1"/>
  <c r="E1023" i="1"/>
  <c r="J1023" i="1" s="1"/>
  <c r="H1023" i="1"/>
  <c r="K1023" i="1"/>
  <c r="L1023" i="1"/>
  <c r="E1022" i="1"/>
  <c r="I1022" i="1" s="1"/>
  <c r="G1022" i="1"/>
  <c r="H1022" i="1"/>
  <c r="J1022" i="1"/>
  <c r="K1022" i="1"/>
  <c r="L1022" i="1"/>
  <c r="A1022" i="1"/>
  <c r="A1021" i="1"/>
  <c r="E1021" i="1"/>
  <c r="G1021" i="1" s="1"/>
  <c r="H1021" i="1"/>
  <c r="J1021" i="1"/>
  <c r="K1021" i="1"/>
  <c r="L1021" i="1"/>
  <c r="A1020" i="1"/>
  <c r="E1020" i="1"/>
  <c r="I1020" i="1" s="1"/>
  <c r="H1020" i="1"/>
  <c r="K1020" i="1"/>
  <c r="L1020" i="1"/>
  <c r="A1019" i="1"/>
  <c r="E1019" i="1"/>
  <c r="G1019" i="1" s="1"/>
  <c r="H1019" i="1"/>
  <c r="J1019" i="1"/>
  <c r="K1019" i="1"/>
  <c r="L1019" i="1"/>
  <c r="A1018" i="1"/>
  <c r="E1018" i="1"/>
  <c r="I1018" i="1" s="1"/>
  <c r="H1018" i="1"/>
  <c r="J1018" i="1"/>
  <c r="K1018" i="1"/>
  <c r="L1018" i="1"/>
  <c r="A1017" i="1"/>
  <c r="E1017" i="1"/>
  <c r="G1017" i="1" s="1"/>
  <c r="H1017" i="1"/>
  <c r="J1017" i="1"/>
  <c r="K1017" i="1"/>
  <c r="L1017" i="1"/>
  <c r="A1016" i="1"/>
  <c r="E1016" i="1"/>
  <c r="G1016" i="1" s="1"/>
  <c r="H1016" i="1"/>
  <c r="K1016" i="1"/>
  <c r="L1016" i="1"/>
  <c r="A1015" i="1"/>
  <c r="E1015" i="1"/>
  <c r="I1015" i="1" s="1"/>
  <c r="G1015" i="1"/>
  <c r="H1015" i="1"/>
  <c r="K1015" i="1"/>
  <c r="L1015" i="1"/>
  <c r="A1014" i="1"/>
  <c r="E1014" i="1"/>
  <c r="J1014" i="1" s="1"/>
  <c r="H1014" i="1"/>
  <c r="K1014" i="1"/>
  <c r="L1014" i="1"/>
  <c r="A1013" i="1"/>
  <c r="E1013" i="1"/>
  <c r="I1013" i="1" s="1"/>
  <c r="H1013" i="1"/>
  <c r="J1013" i="1"/>
  <c r="K1013" i="1"/>
  <c r="L1013" i="1"/>
  <c r="A1012" i="1"/>
  <c r="E1012" i="1"/>
  <c r="J1012" i="1" s="1"/>
  <c r="H1012" i="1"/>
  <c r="K1012" i="1"/>
  <c r="L1012" i="1"/>
  <c r="A1011" i="1"/>
  <c r="E1011" i="1"/>
  <c r="I1011" i="1" s="1"/>
  <c r="H1011" i="1"/>
  <c r="J1011" i="1"/>
  <c r="K1011" i="1"/>
  <c r="L1011" i="1"/>
  <c r="A1010" i="1"/>
  <c r="E1010" i="1"/>
  <c r="G1010" i="1" s="1"/>
  <c r="H1010" i="1"/>
  <c r="K1010" i="1"/>
  <c r="L1010" i="1"/>
  <c r="A1009" i="1"/>
  <c r="E1009" i="1"/>
  <c r="G1009" i="1" s="1"/>
  <c r="H1009" i="1"/>
  <c r="K1009" i="1"/>
  <c r="L1009" i="1"/>
  <c r="A1008" i="1"/>
  <c r="E1008" i="1"/>
  <c r="G1008" i="1" s="1"/>
  <c r="H1008" i="1"/>
  <c r="I1008" i="1"/>
  <c r="J1008" i="1"/>
  <c r="K1008" i="1"/>
  <c r="L1008" i="1"/>
  <c r="A1007" i="1"/>
  <c r="E1007" i="1"/>
  <c r="I1007" i="1" s="1"/>
  <c r="H1007" i="1"/>
  <c r="K1007" i="1"/>
  <c r="L1007" i="1"/>
  <c r="A1006" i="1"/>
  <c r="E1006" i="1"/>
  <c r="G1006" i="1" s="1"/>
  <c r="H1006" i="1"/>
  <c r="K1006" i="1"/>
  <c r="L1006" i="1"/>
  <c r="A1005" i="1"/>
  <c r="E1005" i="1"/>
  <c r="G1005" i="1"/>
  <c r="H1005" i="1"/>
  <c r="I1005" i="1"/>
  <c r="J1005" i="1"/>
  <c r="K1005" i="1"/>
  <c r="L1005" i="1"/>
  <c r="A1004" i="1"/>
  <c r="E1004" i="1"/>
  <c r="G1004" i="1" s="1"/>
  <c r="H1004" i="1"/>
  <c r="I1004" i="1"/>
  <c r="K1004" i="1"/>
  <c r="L1004" i="1"/>
  <c r="A1003" i="1"/>
  <c r="E1003" i="1"/>
  <c r="J1003" i="1" s="1"/>
  <c r="H1003" i="1"/>
  <c r="K1003" i="1"/>
  <c r="L1003" i="1"/>
  <c r="A1002" i="1"/>
  <c r="E1002" i="1"/>
  <c r="G1002" i="1" s="1"/>
  <c r="H1002" i="1"/>
  <c r="K1002" i="1"/>
  <c r="L1002" i="1"/>
  <c r="A1001" i="1"/>
  <c r="E1001" i="1"/>
  <c r="J1001" i="1" s="1"/>
  <c r="H1001" i="1"/>
  <c r="K1001" i="1"/>
  <c r="L1001" i="1"/>
  <c r="A1000" i="1"/>
  <c r="E1000" i="1"/>
  <c r="G1000" i="1" s="1"/>
  <c r="H1000" i="1"/>
  <c r="J1000" i="1"/>
  <c r="K1000" i="1"/>
  <c r="L1000" i="1"/>
  <c r="A999" i="1"/>
  <c r="E999" i="1"/>
  <c r="G999" i="1" s="1"/>
  <c r="H999" i="1"/>
  <c r="K999" i="1"/>
  <c r="L999" i="1"/>
  <c r="A998" i="1"/>
  <c r="E998" i="1"/>
  <c r="G998" i="1" s="1"/>
  <c r="H998" i="1"/>
  <c r="K998" i="1"/>
  <c r="L998" i="1"/>
  <c r="A997" i="1"/>
  <c r="E997" i="1"/>
  <c r="G997" i="1" s="1"/>
  <c r="H997" i="1"/>
  <c r="I997" i="1"/>
  <c r="J997" i="1"/>
  <c r="K997" i="1"/>
  <c r="L997" i="1"/>
  <c r="A996" i="1"/>
  <c r="E996" i="1"/>
  <c r="G996" i="1" s="1"/>
  <c r="H996" i="1"/>
  <c r="I996" i="1"/>
  <c r="J996" i="1"/>
  <c r="K996" i="1"/>
  <c r="L996" i="1"/>
  <c r="A995" i="1"/>
  <c r="E995" i="1"/>
  <c r="G995" i="1" s="1"/>
  <c r="H995" i="1"/>
  <c r="K995" i="1"/>
  <c r="L995" i="1"/>
  <c r="A994" i="1"/>
  <c r="E994" i="1"/>
  <c r="G994" i="1" s="1"/>
  <c r="H994" i="1"/>
  <c r="I994" i="1"/>
  <c r="J994" i="1"/>
  <c r="K994" i="1"/>
  <c r="L994" i="1"/>
  <c r="A993" i="1"/>
  <c r="E993" i="1"/>
  <c r="I993" i="1" s="1"/>
  <c r="H993" i="1"/>
  <c r="K993" i="1"/>
  <c r="L993" i="1"/>
  <c r="A992" i="1"/>
  <c r="E992" i="1"/>
  <c r="G992" i="1" s="1"/>
  <c r="H992" i="1"/>
  <c r="K992" i="1"/>
  <c r="L992" i="1"/>
  <c r="L991" i="1"/>
  <c r="K991" i="1"/>
  <c r="H991" i="1"/>
  <c r="E991" i="1"/>
  <c r="J991" i="1" s="1"/>
  <c r="A991" i="1"/>
  <c r="L990" i="1"/>
  <c r="K990" i="1"/>
  <c r="H990" i="1"/>
  <c r="E990" i="1"/>
  <c r="G990" i="1" s="1"/>
  <c r="A990" i="1"/>
  <c r="L989" i="1"/>
  <c r="K989" i="1"/>
  <c r="J989" i="1"/>
  <c r="I989" i="1"/>
  <c r="H989" i="1"/>
  <c r="E989" i="1"/>
  <c r="G989" i="1" s="1"/>
  <c r="A989" i="1"/>
  <c r="A988" i="1"/>
  <c r="E988" i="1"/>
  <c r="J988" i="1" s="1"/>
  <c r="G988" i="1"/>
  <c r="H988" i="1"/>
  <c r="I988" i="1"/>
  <c r="K988" i="1"/>
  <c r="L988" i="1"/>
  <c r="L987" i="1"/>
  <c r="K987" i="1"/>
  <c r="H987" i="1"/>
  <c r="E987" i="1"/>
  <c r="J987" i="1" s="1"/>
  <c r="A987" i="1"/>
  <c r="A986" i="1"/>
  <c r="E986" i="1"/>
  <c r="J986" i="1" s="1"/>
  <c r="H986" i="1"/>
  <c r="K986" i="1"/>
  <c r="L986" i="1"/>
  <c r="A985" i="1"/>
  <c r="E985" i="1"/>
  <c r="G985" i="1" s="1"/>
  <c r="H985" i="1"/>
  <c r="I985" i="1"/>
  <c r="J985" i="1"/>
  <c r="K985" i="1"/>
  <c r="L985" i="1"/>
  <c r="A984" i="1"/>
  <c r="E984" i="1"/>
  <c r="I984" i="1" s="1"/>
  <c r="G984" i="1"/>
  <c r="H984" i="1"/>
  <c r="K984" i="1"/>
  <c r="L984" i="1"/>
  <c r="A983" i="1"/>
  <c r="E983" i="1"/>
  <c r="G983" i="1" s="1"/>
  <c r="H983" i="1"/>
  <c r="I983" i="1"/>
  <c r="J983" i="1"/>
  <c r="K983" i="1"/>
  <c r="L983" i="1"/>
  <c r="A982" i="1"/>
  <c r="E982" i="1"/>
  <c r="G982" i="1" s="1"/>
  <c r="H982" i="1"/>
  <c r="K982" i="1"/>
  <c r="L982" i="1"/>
  <c r="A981" i="1"/>
  <c r="E981" i="1"/>
  <c r="J981" i="1" s="1"/>
  <c r="G981" i="1"/>
  <c r="H981" i="1"/>
  <c r="I981" i="1"/>
  <c r="K981" i="1"/>
  <c r="L981" i="1"/>
  <c r="A980" i="1"/>
  <c r="E980" i="1"/>
  <c r="G980" i="1"/>
  <c r="H980" i="1"/>
  <c r="I980" i="1"/>
  <c r="J980" i="1"/>
  <c r="K980" i="1"/>
  <c r="L980" i="1"/>
  <c r="A979" i="1"/>
  <c r="E979" i="1"/>
  <c r="G979" i="1" s="1"/>
  <c r="H979" i="1"/>
  <c r="K979" i="1"/>
  <c r="L979" i="1"/>
  <c r="A978" i="1"/>
  <c r="E978" i="1"/>
  <c r="G978" i="1" s="1"/>
  <c r="H978" i="1"/>
  <c r="K978" i="1"/>
  <c r="L978" i="1"/>
  <c r="A977" i="1"/>
  <c r="E977" i="1"/>
  <c r="I977" i="1" s="1"/>
  <c r="H977" i="1"/>
  <c r="K977" i="1"/>
  <c r="L977" i="1"/>
  <c r="A976" i="1"/>
  <c r="E976" i="1"/>
  <c r="G976" i="1" s="1"/>
  <c r="H976" i="1"/>
  <c r="K976" i="1"/>
  <c r="L976" i="1"/>
  <c r="A975" i="1"/>
  <c r="E975" i="1"/>
  <c r="G975" i="1" s="1"/>
  <c r="H975" i="1"/>
  <c r="K975" i="1"/>
  <c r="L975" i="1"/>
  <c r="A974" i="1"/>
  <c r="E974" i="1"/>
  <c r="G974" i="1" s="1"/>
  <c r="H974" i="1"/>
  <c r="I974" i="1"/>
  <c r="J974" i="1"/>
  <c r="K974" i="1"/>
  <c r="L974" i="1"/>
  <c r="A973" i="1"/>
  <c r="E973" i="1"/>
  <c r="G973" i="1" s="1"/>
  <c r="H973" i="1"/>
  <c r="J973" i="1"/>
  <c r="K973" i="1"/>
  <c r="L973" i="1"/>
  <c r="A972" i="1"/>
  <c r="E972" i="1"/>
  <c r="I972" i="1" s="1"/>
  <c r="H972" i="1"/>
  <c r="K972" i="1"/>
  <c r="L972" i="1"/>
  <c r="A971" i="1"/>
  <c r="E971" i="1"/>
  <c r="J971" i="1" s="1"/>
  <c r="H971" i="1"/>
  <c r="K971" i="1"/>
  <c r="L971" i="1"/>
  <c r="A970" i="1"/>
  <c r="E970" i="1"/>
  <c r="I970" i="1" s="1"/>
  <c r="H970" i="1"/>
  <c r="K970" i="1"/>
  <c r="L970" i="1"/>
  <c r="A969" i="1"/>
  <c r="E969" i="1"/>
  <c r="J969" i="1" s="1"/>
  <c r="H969" i="1"/>
  <c r="K969" i="1"/>
  <c r="L969" i="1"/>
  <c r="A968" i="1"/>
  <c r="E968" i="1"/>
  <c r="G968" i="1" s="1"/>
  <c r="H968" i="1"/>
  <c r="I968" i="1"/>
  <c r="K968" i="1"/>
  <c r="L968" i="1"/>
  <c r="A967" i="1"/>
  <c r="E967" i="1"/>
  <c r="G967" i="1" s="1"/>
  <c r="H967" i="1"/>
  <c r="I967" i="1"/>
  <c r="J967" i="1"/>
  <c r="K967" i="1"/>
  <c r="L967" i="1"/>
  <c r="A966" i="1"/>
  <c r="E966" i="1"/>
  <c r="I966" i="1" s="1"/>
  <c r="H966" i="1"/>
  <c r="K966" i="1"/>
  <c r="L966" i="1"/>
  <c r="A965" i="1"/>
  <c r="E965" i="1"/>
  <c r="I965" i="1" s="1"/>
  <c r="H965" i="1"/>
  <c r="J965" i="1"/>
  <c r="K965" i="1"/>
  <c r="L965" i="1"/>
  <c r="A964" i="1"/>
  <c r="E964" i="1"/>
  <c r="G964" i="1"/>
  <c r="H964" i="1"/>
  <c r="I964" i="1"/>
  <c r="J964" i="1"/>
  <c r="K964" i="1"/>
  <c r="L964" i="1"/>
  <c r="A963" i="1"/>
  <c r="E963" i="1"/>
  <c r="G963" i="1" s="1"/>
  <c r="H963" i="1"/>
  <c r="I963" i="1"/>
  <c r="J963" i="1"/>
  <c r="K963" i="1"/>
  <c r="L963" i="1"/>
  <c r="A962" i="1"/>
  <c r="E962" i="1"/>
  <c r="I962" i="1" s="1"/>
  <c r="H962" i="1"/>
  <c r="K962" i="1"/>
  <c r="L962" i="1"/>
  <c r="A961" i="1"/>
  <c r="E961" i="1"/>
  <c r="I961" i="1" s="1"/>
  <c r="H961" i="1"/>
  <c r="K961" i="1"/>
  <c r="L961" i="1"/>
  <c r="A960" i="1"/>
  <c r="E960" i="1"/>
  <c r="G960" i="1" s="1"/>
  <c r="H960" i="1"/>
  <c r="I960" i="1"/>
  <c r="J960" i="1"/>
  <c r="K960" i="1"/>
  <c r="L960" i="1"/>
  <c r="A959" i="1"/>
  <c r="E959" i="1"/>
  <c r="G959" i="1" s="1"/>
  <c r="H959" i="1"/>
  <c r="K959" i="1"/>
  <c r="L959" i="1"/>
  <c r="A958" i="1"/>
  <c r="E958" i="1"/>
  <c r="G958" i="1" s="1"/>
  <c r="H958" i="1"/>
  <c r="J958" i="1"/>
  <c r="K958" i="1"/>
  <c r="L958" i="1"/>
  <c r="A957" i="1"/>
  <c r="E957" i="1"/>
  <c r="G957" i="1" s="1"/>
  <c r="H957" i="1"/>
  <c r="I957" i="1"/>
  <c r="J957" i="1"/>
  <c r="K957" i="1"/>
  <c r="L957" i="1"/>
  <c r="A956" i="1"/>
  <c r="E956" i="1"/>
  <c r="I956" i="1" s="1"/>
  <c r="H956" i="1"/>
  <c r="K956" i="1"/>
  <c r="L956" i="1"/>
  <c r="A955" i="1"/>
  <c r="E955" i="1"/>
  <c r="G955" i="1" s="1"/>
  <c r="H955" i="1"/>
  <c r="J955" i="1"/>
  <c r="K955" i="1"/>
  <c r="L955" i="1"/>
  <c r="A954" i="1"/>
  <c r="E954" i="1"/>
  <c r="G954" i="1" s="1"/>
  <c r="H954" i="1"/>
  <c r="K954" i="1"/>
  <c r="L954" i="1"/>
  <c r="A953" i="1"/>
  <c r="E953" i="1"/>
  <c r="G953" i="1" s="1"/>
  <c r="H953" i="1"/>
  <c r="K953" i="1"/>
  <c r="L953" i="1"/>
  <c r="A952" i="1"/>
  <c r="E952" i="1"/>
  <c r="G952" i="1" s="1"/>
  <c r="H952" i="1"/>
  <c r="K952" i="1"/>
  <c r="L952" i="1"/>
  <c r="A951" i="1"/>
  <c r="E951" i="1"/>
  <c r="J951" i="1" s="1"/>
  <c r="G951" i="1"/>
  <c r="H951" i="1"/>
  <c r="I951" i="1"/>
  <c r="K951" i="1"/>
  <c r="L951" i="1"/>
  <c r="A950" i="1"/>
  <c r="E950" i="1"/>
  <c r="J950" i="1" s="1"/>
  <c r="H950" i="1"/>
  <c r="K950" i="1"/>
  <c r="L950" i="1"/>
  <c r="A949" i="1"/>
  <c r="E949" i="1"/>
  <c r="G949" i="1" s="1"/>
  <c r="H949" i="1"/>
  <c r="K949" i="1"/>
  <c r="L949" i="1"/>
  <c r="A948" i="1"/>
  <c r="E948" i="1"/>
  <c r="I948" i="1" s="1"/>
  <c r="H948" i="1"/>
  <c r="K948" i="1"/>
  <c r="L948" i="1"/>
  <c r="A947" i="1"/>
  <c r="E947" i="1"/>
  <c r="J947" i="1" s="1"/>
  <c r="H947" i="1"/>
  <c r="K947" i="1"/>
  <c r="L947" i="1"/>
  <c r="A946" i="1"/>
  <c r="E946" i="1"/>
  <c r="J946" i="1" s="1"/>
  <c r="G946" i="1"/>
  <c r="H946" i="1"/>
  <c r="K946" i="1"/>
  <c r="L946" i="1"/>
  <c r="A945" i="1"/>
  <c r="E945" i="1"/>
  <c r="G945" i="1" s="1"/>
  <c r="H945" i="1"/>
  <c r="K945" i="1"/>
  <c r="L945" i="1"/>
  <c r="A944" i="1"/>
  <c r="E944" i="1"/>
  <c r="I944" i="1" s="1"/>
  <c r="H944" i="1"/>
  <c r="K944" i="1"/>
  <c r="L944" i="1"/>
  <c r="A943" i="1"/>
  <c r="E943" i="1"/>
  <c r="G943" i="1" s="1"/>
  <c r="H943" i="1"/>
  <c r="K943" i="1"/>
  <c r="L943" i="1"/>
  <c r="A942" i="1"/>
  <c r="E942" i="1"/>
  <c r="G942" i="1" s="1"/>
  <c r="H942" i="1"/>
  <c r="K942" i="1"/>
  <c r="L942" i="1"/>
  <c r="A941" i="1"/>
  <c r="E941" i="1"/>
  <c r="G941" i="1" s="1"/>
  <c r="H941" i="1"/>
  <c r="K941" i="1"/>
  <c r="L941" i="1"/>
  <c r="A940" i="1"/>
  <c r="E940" i="1"/>
  <c r="G940" i="1" s="1"/>
  <c r="H940" i="1"/>
  <c r="K940" i="1"/>
  <c r="L940" i="1"/>
  <c r="A939" i="1"/>
  <c r="E939" i="1"/>
  <c r="G939" i="1" s="1"/>
  <c r="H939" i="1"/>
  <c r="K939" i="1"/>
  <c r="L939" i="1"/>
  <c r="A938" i="1"/>
  <c r="E938" i="1"/>
  <c r="G938" i="1" s="1"/>
  <c r="H938" i="1"/>
  <c r="K938" i="1"/>
  <c r="L938" i="1"/>
  <c r="A937" i="1"/>
  <c r="E937" i="1"/>
  <c r="I937" i="1" s="1"/>
  <c r="H937" i="1"/>
  <c r="J937" i="1"/>
  <c r="K937" i="1"/>
  <c r="L937" i="1"/>
  <c r="A936" i="1"/>
  <c r="E936" i="1"/>
  <c r="G936" i="1" s="1"/>
  <c r="H936" i="1"/>
  <c r="J936" i="1"/>
  <c r="K936" i="1"/>
  <c r="L936" i="1"/>
  <c r="A935" i="1"/>
  <c r="E935" i="1"/>
  <c r="I935" i="1" s="1"/>
  <c r="H935" i="1"/>
  <c r="K935" i="1"/>
  <c r="L935" i="1"/>
  <c r="A934" i="1"/>
  <c r="E934" i="1"/>
  <c r="G934" i="1" s="1"/>
  <c r="H934" i="1"/>
  <c r="J934" i="1"/>
  <c r="K934" i="1"/>
  <c r="L934" i="1"/>
  <c r="A933" i="1"/>
  <c r="E933" i="1"/>
  <c r="G933" i="1" s="1"/>
  <c r="H933" i="1"/>
  <c r="J933" i="1"/>
  <c r="K933" i="1"/>
  <c r="L933" i="1"/>
  <c r="A932" i="1"/>
  <c r="E932" i="1"/>
  <c r="G932" i="1" s="1"/>
  <c r="H932" i="1"/>
  <c r="K932" i="1"/>
  <c r="L932" i="1"/>
  <c r="A931" i="1"/>
  <c r="E931" i="1"/>
  <c r="J931" i="1" s="1"/>
  <c r="G931" i="1"/>
  <c r="H931" i="1"/>
  <c r="I931" i="1"/>
  <c r="K931" i="1"/>
  <c r="L931" i="1"/>
  <c r="A930" i="1"/>
  <c r="E930" i="1"/>
  <c r="G930" i="1" s="1"/>
  <c r="H930" i="1"/>
  <c r="K930" i="1"/>
  <c r="L930" i="1"/>
  <c r="A929" i="1"/>
  <c r="E929" i="1"/>
  <c r="G929" i="1" s="1"/>
  <c r="H929" i="1"/>
  <c r="K929" i="1"/>
  <c r="L929" i="1"/>
  <c r="L928" i="1"/>
  <c r="K928" i="1"/>
  <c r="H928" i="1"/>
  <c r="E928" i="1"/>
  <c r="J928" i="1" s="1"/>
  <c r="A928" i="1"/>
  <c r="L927" i="1"/>
  <c r="K927" i="1"/>
  <c r="H927" i="1"/>
  <c r="E927" i="1"/>
  <c r="J927" i="1" s="1"/>
  <c r="A927" i="1"/>
  <c r="L926" i="1"/>
  <c r="K926" i="1"/>
  <c r="H926" i="1"/>
  <c r="E926" i="1"/>
  <c r="G926" i="1" s="1"/>
  <c r="A926" i="1"/>
  <c r="L925" i="1"/>
  <c r="K925" i="1"/>
  <c r="H925" i="1"/>
  <c r="E925" i="1"/>
  <c r="G925" i="1" s="1"/>
  <c r="A925" i="1"/>
  <c r="L924" i="1"/>
  <c r="K924" i="1"/>
  <c r="H924" i="1"/>
  <c r="E924" i="1"/>
  <c r="G924" i="1" s="1"/>
  <c r="A924" i="1"/>
  <c r="L923" i="1"/>
  <c r="K923" i="1"/>
  <c r="H923" i="1"/>
  <c r="E923" i="1"/>
  <c r="G923" i="1" s="1"/>
  <c r="A923" i="1"/>
  <c r="L922" i="1"/>
  <c r="K922" i="1"/>
  <c r="H922" i="1"/>
  <c r="E922" i="1"/>
  <c r="I922" i="1" s="1"/>
  <c r="A922" i="1"/>
  <c r="L921" i="1"/>
  <c r="K921" i="1"/>
  <c r="H921" i="1"/>
  <c r="E921" i="1"/>
  <c r="J921" i="1" s="1"/>
  <c r="A921" i="1"/>
  <c r="L920" i="1"/>
  <c r="K920" i="1"/>
  <c r="H920" i="1"/>
  <c r="E920" i="1"/>
  <c r="J920" i="1" s="1"/>
  <c r="A920" i="1"/>
  <c r="L919" i="1"/>
  <c r="K919" i="1"/>
  <c r="H919" i="1"/>
  <c r="E919" i="1"/>
  <c r="J919" i="1" s="1"/>
  <c r="A919" i="1"/>
  <c r="L918" i="1"/>
  <c r="K918" i="1"/>
  <c r="H918" i="1"/>
  <c r="E918" i="1"/>
  <c r="J918" i="1" s="1"/>
  <c r="A918" i="1"/>
  <c r="L917" i="1"/>
  <c r="K917" i="1"/>
  <c r="H917" i="1"/>
  <c r="E917" i="1"/>
  <c r="J917" i="1" s="1"/>
  <c r="A917" i="1"/>
  <c r="L916" i="1"/>
  <c r="K916" i="1"/>
  <c r="H916" i="1"/>
  <c r="E916" i="1"/>
  <c r="J916" i="1" s="1"/>
  <c r="A916" i="1"/>
  <c r="J1025" i="1" l="1"/>
  <c r="G1025" i="1"/>
  <c r="I1023" i="1"/>
  <c r="G1023" i="1"/>
  <c r="I1021" i="1"/>
  <c r="G1020" i="1"/>
  <c r="J1020" i="1"/>
  <c r="I1019" i="1"/>
  <c r="G1018" i="1"/>
  <c r="I1017" i="1"/>
  <c r="J1016" i="1"/>
  <c r="I1016" i="1"/>
  <c r="J1015" i="1"/>
  <c r="I1014" i="1"/>
  <c r="G1014" i="1"/>
  <c r="G1013" i="1"/>
  <c r="I1012" i="1"/>
  <c r="G1012" i="1"/>
  <c r="G1011" i="1"/>
  <c r="J1010" i="1"/>
  <c r="I1010" i="1"/>
  <c r="J1009" i="1"/>
  <c r="I1009" i="1"/>
  <c r="J1007" i="1"/>
  <c r="G1007" i="1"/>
  <c r="J1006" i="1"/>
  <c r="I1006" i="1"/>
  <c r="J1004" i="1"/>
  <c r="I1003" i="1"/>
  <c r="G1003" i="1"/>
  <c r="I1002" i="1"/>
  <c r="J1002" i="1"/>
  <c r="I1001" i="1"/>
  <c r="G1001" i="1"/>
  <c r="I1000" i="1"/>
  <c r="I999" i="1"/>
  <c r="J999" i="1"/>
  <c r="J998" i="1"/>
  <c r="I998" i="1"/>
  <c r="J995" i="1"/>
  <c r="I995" i="1"/>
  <c r="J993" i="1"/>
  <c r="G993" i="1"/>
  <c r="J992" i="1"/>
  <c r="I992" i="1"/>
  <c r="I991" i="1"/>
  <c r="G991" i="1"/>
  <c r="I990" i="1"/>
  <c r="J990" i="1"/>
  <c r="G987" i="1"/>
  <c r="I987" i="1"/>
  <c r="G986" i="1"/>
  <c r="I986" i="1"/>
  <c r="J984" i="1"/>
  <c r="J982" i="1"/>
  <c r="I982" i="1"/>
  <c r="I979" i="1"/>
  <c r="J979" i="1"/>
  <c r="J978" i="1"/>
  <c r="I978" i="1"/>
  <c r="J977" i="1"/>
  <c r="G977" i="1"/>
  <c r="J976" i="1"/>
  <c r="I976" i="1"/>
  <c r="J975" i="1"/>
  <c r="I975" i="1"/>
  <c r="I973" i="1"/>
  <c r="G972" i="1"/>
  <c r="J972" i="1"/>
  <c r="G971" i="1"/>
  <c r="I971" i="1"/>
  <c r="G970" i="1"/>
  <c r="J970" i="1"/>
  <c r="I969" i="1"/>
  <c r="G969" i="1"/>
  <c r="J968" i="1"/>
  <c r="J966" i="1"/>
  <c r="G966" i="1"/>
  <c r="G965" i="1"/>
  <c r="J962" i="1"/>
  <c r="G962" i="1"/>
  <c r="G961" i="1"/>
  <c r="J961" i="1"/>
  <c r="J959" i="1"/>
  <c r="I959" i="1"/>
  <c r="I958" i="1"/>
  <c r="G956" i="1"/>
  <c r="J956" i="1"/>
  <c r="I955" i="1"/>
  <c r="J954" i="1"/>
  <c r="I954" i="1"/>
  <c r="J953" i="1"/>
  <c r="I953" i="1"/>
  <c r="J952" i="1"/>
  <c r="I952" i="1"/>
  <c r="G950" i="1"/>
  <c r="I950" i="1"/>
  <c r="J949" i="1"/>
  <c r="I949" i="1"/>
  <c r="J948" i="1"/>
  <c r="G948" i="1"/>
  <c r="I947" i="1"/>
  <c r="G947" i="1"/>
  <c r="I946" i="1"/>
  <c r="J945" i="1"/>
  <c r="I945" i="1"/>
  <c r="G944" i="1"/>
  <c r="J944" i="1"/>
  <c r="J943" i="1"/>
  <c r="I943" i="1"/>
  <c r="I942" i="1"/>
  <c r="J942" i="1"/>
  <c r="J941" i="1"/>
  <c r="I941" i="1"/>
  <c r="J940" i="1"/>
  <c r="I940" i="1"/>
  <c r="J939" i="1"/>
  <c r="I939" i="1"/>
  <c r="I938" i="1"/>
  <c r="J938" i="1"/>
  <c r="G937" i="1"/>
  <c r="I936" i="1"/>
  <c r="G935" i="1"/>
  <c r="J935" i="1"/>
  <c r="I934" i="1"/>
  <c r="I933" i="1"/>
  <c r="J932" i="1"/>
  <c r="I932" i="1"/>
  <c r="J930" i="1"/>
  <c r="I930" i="1"/>
  <c r="J929" i="1"/>
  <c r="I929" i="1"/>
  <c r="G928" i="1"/>
  <c r="I928" i="1"/>
  <c r="G927" i="1"/>
  <c r="I927" i="1"/>
  <c r="J926" i="1"/>
  <c r="I926" i="1"/>
  <c r="J925" i="1"/>
  <c r="I925" i="1"/>
  <c r="J924" i="1"/>
  <c r="I924" i="1"/>
  <c r="I923" i="1"/>
  <c r="J923" i="1"/>
  <c r="G922" i="1"/>
  <c r="J922" i="1"/>
  <c r="G921" i="1"/>
  <c r="I921" i="1"/>
  <c r="G920" i="1"/>
  <c r="I920" i="1"/>
  <c r="G919" i="1"/>
  <c r="I919" i="1"/>
  <c r="G918" i="1"/>
  <c r="I918" i="1"/>
  <c r="G917" i="1"/>
  <c r="I917" i="1"/>
  <c r="I916" i="1"/>
  <c r="G916" i="1"/>
  <c r="L915" i="1"/>
  <c r="K915" i="1"/>
  <c r="H915" i="1"/>
  <c r="E915" i="1"/>
  <c r="J915" i="1" s="1"/>
  <c r="A915" i="1"/>
  <c r="L914" i="1"/>
  <c r="K914" i="1"/>
  <c r="H914" i="1"/>
  <c r="E914" i="1"/>
  <c r="J914" i="1" s="1"/>
  <c r="A914" i="1"/>
  <c r="L913" i="1"/>
  <c r="K913" i="1"/>
  <c r="H913" i="1"/>
  <c r="E913" i="1"/>
  <c r="J913" i="1" s="1"/>
  <c r="A913" i="1"/>
  <c r="L912" i="1"/>
  <c r="K912" i="1"/>
  <c r="H912" i="1"/>
  <c r="E912" i="1"/>
  <c r="J912" i="1" s="1"/>
  <c r="A912" i="1"/>
  <c r="L911" i="1"/>
  <c r="K911" i="1"/>
  <c r="H911" i="1"/>
  <c r="E911" i="1"/>
  <c r="J911" i="1" s="1"/>
  <c r="A911" i="1"/>
  <c r="L910" i="1"/>
  <c r="K910" i="1"/>
  <c r="H910" i="1"/>
  <c r="E910" i="1"/>
  <c r="J910" i="1" s="1"/>
  <c r="A910" i="1"/>
  <c r="L909" i="1"/>
  <c r="K909" i="1"/>
  <c r="H909" i="1"/>
  <c r="E909" i="1"/>
  <c r="J909" i="1" s="1"/>
  <c r="A909" i="1"/>
  <c r="L908" i="1"/>
  <c r="K908" i="1"/>
  <c r="J908" i="1"/>
  <c r="H908" i="1"/>
  <c r="E908" i="1"/>
  <c r="I908" i="1" s="1"/>
  <c r="A908" i="1"/>
  <c r="L907" i="1"/>
  <c r="K907" i="1"/>
  <c r="H907" i="1"/>
  <c r="E907" i="1"/>
  <c r="J907" i="1" s="1"/>
  <c r="A907" i="1"/>
  <c r="L906" i="1"/>
  <c r="K906" i="1"/>
  <c r="H906" i="1"/>
  <c r="E906" i="1"/>
  <c r="J906" i="1" s="1"/>
  <c r="A906" i="1"/>
  <c r="L905" i="1"/>
  <c r="K905" i="1"/>
  <c r="H905" i="1"/>
  <c r="E905" i="1"/>
  <c r="J905" i="1" s="1"/>
  <c r="A905" i="1"/>
  <c r="L904" i="1"/>
  <c r="K904" i="1"/>
  <c r="H904" i="1"/>
  <c r="E904" i="1"/>
  <c r="G904" i="1" s="1"/>
  <c r="A904" i="1"/>
  <c r="L903" i="1"/>
  <c r="K903" i="1"/>
  <c r="H903" i="1"/>
  <c r="E903" i="1"/>
  <c r="I903" i="1" s="1"/>
  <c r="A903" i="1"/>
  <c r="L902" i="1"/>
  <c r="K902" i="1"/>
  <c r="H902" i="1"/>
  <c r="E902" i="1"/>
  <c r="I902" i="1" s="1"/>
  <c r="A902" i="1"/>
  <c r="L901" i="1"/>
  <c r="K901" i="1"/>
  <c r="H901" i="1"/>
  <c r="E901" i="1"/>
  <c r="J901" i="1" s="1"/>
  <c r="A901" i="1"/>
  <c r="L900" i="1"/>
  <c r="K900" i="1"/>
  <c r="H900" i="1"/>
  <c r="E900" i="1"/>
  <c r="J900" i="1" s="1"/>
  <c r="A900" i="1"/>
  <c r="L899" i="1"/>
  <c r="K899" i="1"/>
  <c r="H899" i="1"/>
  <c r="E899" i="1"/>
  <c r="G899" i="1" s="1"/>
  <c r="A899" i="1"/>
  <c r="L898" i="1"/>
  <c r="K898" i="1"/>
  <c r="H898" i="1"/>
  <c r="E898" i="1"/>
  <c r="J898" i="1" s="1"/>
  <c r="A898" i="1"/>
  <c r="G1" i="5"/>
  <c r="F1" i="5"/>
  <c r="L897" i="1"/>
  <c r="K897" i="1"/>
  <c r="H897" i="1"/>
  <c r="E897" i="1"/>
  <c r="L896" i="1"/>
  <c r="K896" i="1"/>
  <c r="H896" i="1"/>
  <c r="E896" i="1"/>
  <c r="J896" i="1" s="1"/>
  <c r="L895" i="1"/>
  <c r="K895" i="1"/>
  <c r="H895" i="1"/>
  <c r="E895" i="1"/>
  <c r="L894" i="1"/>
  <c r="K894" i="1"/>
  <c r="H894" i="1"/>
  <c r="E894" i="1"/>
  <c r="J894" i="1" s="1"/>
  <c r="L893" i="1"/>
  <c r="K893" i="1"/>
  <c r="H893" i="1"/>
  <c r="E893" i="1"/>
  <c r="J893" i="1" s="1"/>
  <c r="L892" i="1"/>
  <c r="K892" i="1"/>
  <c r="H892" i="1"/>
  <c r="E892" i="1"/>
  <c r="L891" i="1"/>
  <c r="K891" i="1"/>
  <c r="H891" i="1"/>
  <c r="E891" i="1"/>
  <c r="G891" i="1" s="1"/>
  <c r="L890" i="1"/>
  <c r="K890" i="1"/>
  <c r="H890" i="1"/>
  <c r="E890" i="1"/>
  <c r="L889" i="1"/>
  <c r="K889" i="1"/>
  <c r="H889" i="1"/>
  <c r="E889" i="1"/>
  <c r="J889" i="1" s="1"/>
  <c r="L888" i="1"/>
  <c r="K888" i="1"/>
  <c r="H888" i="1"/>
  <c r="E888" i="1"/>
  <c r="L887" i="1"/>
  <c r="K887" i="1"/>
  <c r="H887" i="1"/>
  <c r="E887" i="1"/>
  <c r="L886" i="1"/>
  <c r="K886" i="1"/>
  <c r="H886" i="1"/>
  <c r="E886" i="1"/>
  <c r="J886" i="1" s="1"/>
  <c r="L885" i="1"/>
  <c r="K885" i="1"/>
  <c r="H885" i="1"/>
  <c r="E885" i="1"/>
  <c r="I885" i="1" s="1"/>
  <c r="L884" i="1"/>
  <c r="K884" i="1"/>
  <c r="H884" i="1"/>
  <c r="E884" i="1"/>
  <c r="E883" i="1"/>
  <c r="I883" i="1" s="1"/>
  <c r="L883" i="1"/>
  <c r="K883" i="1"/>
  <c r="H883" i="1"/>
  <c r="G883" i="1"/>
  <c r="L882" i="1"/>
  <c r="K882" i="1"/>
  <c r="H882" i="1"/>
  <c r="E882" i="1"/>
  <c r="L881" i="1"/>
  <c r="K881" i="1"/>
  <c r="H881" i="1"/>
  <c r="E881" i="1"/>
  <c r="L880" i="1"/>
  <c r="K880" i="1"/>
  <c r="H880" i="1"/>
  <c r="E880" i="1"/>
  <c r="G880" i="1" s="1"/>
  <c r="E879" i="1"/>
  <c r="L879" i="1"/>
  <c r="K879" i="1"/>
  <c r="H879" i="1"/>
  <c r="L878" i="1"/>
  <c r="K878" i="1"/>
  <c r="H878" i="1"/>
  <c r="E878" i="1"/>
  <c r="L877" i="1"/>
  <c r="K877" i="1"/>
  <c r="H877" i="1"/>
  <c r="E877" i="1"/>
  <c r="J877" i="1" s="1"/>
  <c r="L876" i="1"/>
  <c r="K876" i="1"/>
  <c r="H876" i="1"/>
  <c r="E876" i="1"/>
  <c r="J876" i="1" s="1"/>
  <c r="L875" i="1"/>
  <c r="K875" i="1"/>
  <c r="H875" i="1"/>
  <c r="E875" i="1"/>
  <c r="L874" i="1"/>
  <c r="K874" i="1"/>
  <c r="H874" i="1"/>
  <c r="E874" i="1"/>
  <c r="L873" i="1"/>
  <c r="K873" i="1"/>
  <c r="H873" i="1"/>
  <c r="E873" i="1"/>
  <c r="G873" i="1" s="1"/>
  <c r="L872" i="1"/>
  <c r="K872" i="1"/>
  <c r="H872" i="1"/>
  <c r="E872" i="1"/>
  <c r="L871" i="1"/>
  <c r="K871" i="1"/>
  <c r="H871" i="1"/>
  <c r="E871" i="1"/>
  <c r="E870" i="1"/>
  <c r="I870" i="1" s="1"/>
  <c r="H870" i="1"/>
  <c r="K870" i="1"/>
  <c r="L870" i="1"/>
  <c r="E869" i="1"/>
  <c r="G869" i="1" s="1"/>
  <c r="H869" i="1"/>
  <c r="K869" i="1"/>
  <c r="L869" i="1"/>
  <c r="E868" i="1"/>
  <c r="G868" i="1" s="1"/>
  <c r="H868" i="1"/>
  <c r="K868" i="1"/>
  <c r="L868" i="1"/>
  <c r="E867" i="1"/>
  <c r="G867" i="1" s="1"/>
  <c r="H867" i="1"/>
  <c r="K867" i="1"/>
  <c r="L867" i="1"/>
  <c r="E866" i="1"/>
  <c r="J866" i="1" s="1"/>
  <c r="H866" i="1"/>
  <c r="K866" i="1"/>
  <c r="L866" i="1"/>
  <c r="E865" i="1"/>
  <c r="H865" i="1"/>
  <c r="K865" i="1"/>
  <c r="L865" i="1"/>
  <c r="E864" i="1"/>
  <c r="J864" i="1" s="1"/>
  <c r="H864" i="1"/>
  <c r="K864" i="1"/>
  <c r="L864" i="1"/>
  <c r="E863" i="1"/>
  <c r="G863" i="1" s="1"/>
  <c r="H863" i="1"/>
  <c r="K863" i="1"/>
  <c r="L863" i="1"/>
  <c r="E862" i="1"/>
  <c r="H862" i="1"/>
  <c r="K862" i="1"/>
  <c r="L862" i="1"/>
  <c r="E861" i="1"/>
  <c r="H861" i="1"/>
  <c r="I861" i="1"/>
  <c r="K861" i="1"/>
  <c r="L861" i="1"/>
  <c r="E860" i="1"/>
  <c r="I860" i="1" s="1"/>
  <c r="H860" i="1"/>
  <c r="K860" i="1"/>
  <c r="L860" i="1"/>
  <c r="E859" i="1"/>
  <c r="G859" i="1" s="1"/>
  <c r="H859" i="1"/>
  <c r="K859" i="1"/>
  <c r="L859" i="1"/>
  <c r="E858" i="1"/>
  <c r="H858" i="1"/>
  <c r="K858" i="1"/>
  <c r="L858" i="1"/>
  <c r="E857" i="1"/>
  <c r="J857" i="1" s="1"/>
  <c r="G857" i="1"/>
  <c r="H857" i="1"/>
  <c r="K857" i="1"/>
  <c r="L857" i="1"/>
  <c r="E856" i="1"/>
  <c r="H856" i="1"/>
  <c r="K856" i="1"/>
  <c r="L856" i="1"/>
  <c r="E855" i="1"/>
  <c r="J855" i="1" s="1"/>
  <c r="H855" i="1"/>
  <c r="K855" i="1"/>
  <c r="L855" i="1"/>
  <c r="E854" i="1"/>
  <c r="G854" i="1" s="1"/>
  <c r="H854" i="1"/>
  <c r="K854" i="1"/>
  <c r="L854" i="1"/>
  <c r="E853" i="1"/>
  <c r="H853" i="1"/>
  <c r="K853" i="1"/>
  <c r="L853" i="1"/>
  <c r="E852" i="1"/>
  <c r="J852" i="1" s="1"/>
  <c r="H852" i="1"/>
  <c r="K852" i="1"/>
  <c r="L852" i="1"/>
  <c r="E851" i="1"/>
  <c r="J851" i="1" s="1"/>
  <c r="H851" i="1"/>
  <c r="K851" i="1"/>
  <c r="L851" i="1"/>
  <c r="E850" i="1"/>
  <c r="G850" i="1" s="1"/>
  <c r="H850" i="1"/>
  <c r="K850" i="1"/>
  <c r="L850" i="1"/>
  <c r="E849" i="1"/>
  <c r="H849" i="1"/>
  <c r="K849" i="1"/>
  <c r="L849" i="1"/>
  <c r="E848" i="1"/>
  <c r="G848" i="1" s="1"/>
  <c r="H848" i="1"/>
  <c r="K848" i="1"/>
  <c r="L848" i="1"/>
  <c r="E847" i="1"/>
  <c r="G847" i="1" s="1"/>
  <c r="H847" i="1"/>
  <c r="K847" i="1"/>
  <c r="L847" i="1"/>
  <c r="E846" i="1"/>
  <c r="G846" i="1" s="1"/>
  <c r="H846" i="1"/>
  <c r="K846" i="1"/>
  <c r="L846" i="1"/>
  <c r="E845" i="1"/>
  <c r="G845" i="1" s="1"/>
  <c r="H845" i="1"/>
  <c r="K845" i="1"/>
  <c r="L845" i="1"/>
  <c r="E844" i="1"/>
  <c r="H844" i="1"/>
  <c r="K844" i="1"/>
  <c r="L844" i="1"/>
  <c r="E843" i="1"/>
  <c r="I843" i="1" s="1"/>
  <c r="H843" i="1"/>
  <c r="K843" i="1"/>
  <c r="L843" i="1"/>
  <c r="E842" i="1"/>
  <c r="G842" i="1" s="1"/>
  <c r="H842" i="1"/>
  <c r="K842" i="1"/>
  <c r="L842" i="1"/>
  <c r="E841" i="1"/>
  <c r="G841" i="1" s="1"/>
  <c r="H841" i="1"/>
  <c r="K841" i="1"/>
  <c r="L841" i="1"/>
  <c r="E840" i="1"/>
  <c r="G840" i="1" s="1"/>
  <c r="H840" i="1"/>
  <c r="K840" i="1"/>
  <c r="L840" i="1"/>
  <c r="E839" i="1"/>
  <c r="G839" i="1" s="1"/>
  <c r="H839" i="1"/>
  <c r="K839" i="1"/>
  <c r="L839" i="1"/>
  <c r="E838" i="1"/>
  <c r="G838" i="1" s="1"/>
  <c r="H838" i="1"/>
  <c r="K838" i="1"/>
  <c r="L838" i="1"/>
  <c r="E837" i="1"/>
  <c r="I837" i="1" s="1"/>
  <c r="H837" i="1"/>
  <c r="K837" i="1"/>
  <c r="L837" i="1"/>
  <c r="E836" i="1"/>
  <c r="G836" i="1" s="1"/>
  <c r="H836" i="1"/>
  <c r="K836" i="1"/>
  <c r="L836" i="1"/>
  <c r="E835" i="1"/>
  <c r="I835" i="1" s="1"/>
  <c r="H835" i="1"/>
  <c r="K835" i="1"/>
  <c r="L835" i="1"/>
  <c r="E834" i="1"/>
  <c r="G834" i="1" s="1"/>
  <c r="H834" i="1"/>
  <c r="K834" i="1"/>
  <c r="L834" i="1"/>
  <c r="E833" i="1"/>
  <c r="H833" i="1"/>
  <c r="K833" i="1"/>
  <c r="L833" i="1"/>
  <c r="G915" i="1" l="1"/>
  <c r="I915" i="1"/>
  <c r="G914" i="1"/>
  <c r="I914" i="1"/>
  <c r="G913" i="1"/>
  <c r="I913" i="1"/>
  <c r="G912" i="1"/>
  <c r="I912" i="1"/>
  <c r="G911" i="1"/>
  <c r="I911" i="1"/>
  <c r="G910" i="1"/>
  <c r="I910" i="1"/>
  <c r="G909" i="1"/>
  <c r="I909" i="1"/>
  <c r="G908" i="1"/>
  <c r="G907" i="1"/>
  <c r="I907" i="1"/>
  <c r="I906" i="1"/>
  <c r="G906" i="1"/>
  <c r="G905" i="1"/>
  <c r="I905" i="1"/>
  <c r="I904" i="1"/>
  <c r="J904" i="1"/>
  <c r="J903" i="1"/>
  <c r="G903" i="1"/>
  <c r="J902" i="1"/>
  <c r="G902" i="1"/>
  <c r="G901" i="1"/>
  <c r="I901" i="1"/>
  <c r="G900" i="1"/>
  <c r="I900" i="1"/>
  <c r="I899" i="1"/>
  <c r="J899" i="1"/>
  <c r="G898" i="1"/>
  <c r="I898" i="1"/>
  <c r="G837" i="1"/>
  <c r="J849" i="1"/>
  <c r="I858" i="1"/>
  <c r="J861" i="1"/>
  <c r="J874" i="1"/>
  <c r="J883" i="1"/>
  <c r="J871" i="1"/>
  <c r="I865" i="1"/>
  <c r="J881" i="1"/>
  <c r="J890" i="1"/>
  <c r="J856" i="1"/>
  <c r="J835" i="1"/>
  <c r="J847" i="1"/>
  <c r="I853" i="1"/>
  <c r="J878" i="1"/>
  <c r="J887" i="1"/>
  <c r="I862" i="1"/>
  <c r="J865" i="1"/>
  <c r="J875" i="1"/>
  <c r="J884" i="1"/>
  <c r="J872" i="1"/>
  <c r="J897" i="1"/>
  <c r="J845" i="1"/>
  <c r="I857" i="1"/>
  <c r="I882" i="1"/>
  <c r="I845" i="1"/>
  <c r="J888" i="1"/>
  <c r="J879" i="1"/>
  <c r="J895" i="1"/>
  <c r="J892" i="1"/>
  <c r="I897" i="1"/>
  <c r="G897" i="1"/>
  <c r="G896" i="1"/>
  <c r="I896" i="1"/>
  <c r="G895" i="1"/>
  <c r="I895" i="1"/>
  <c r="G894" i="1"/>
  <c r="I894" i="1"/>
  <c r="G893" i="1"/>
  <c r="I893" i="1"/>
  <c r="G892" i="1"/>
  <c r="I892" i="1"/>
  <c r="J891" i="1"/>
  <c r="I891" i="1"/>
  <c r="G890" i="1"/>
  <c r="I890" i="1"/>
  <c r="G889" i="1"/>
  <c r="I889" i="1"/>
  <c r="G888" i="1"/>
  <c r="I888" i="1"/>
  <c r="G887" i="1"/>
  <c r="I887" i="1"/>
  <c r="G886" i="1"/>
  <c r="I886" i="1"/>
  <c r="G885" i="1"/>
  <c r="J885" i="1"/>
  <c r="G884" i="1"/>
  <c r="I884" i="1"/>
  <c r="J882" i="1"/>
  <c r="G882" i="1"/>
  <c r="G881" i="1"/>
  <c r="I881" i="1"/>
  <c r="I880" i="1"/>
  <c r="J880" i="1"/>
  <c r="G879" i="1"/>
  <c r="I879" i="1"/>
  <c r="G878" i="1"/>
  <c r="I878" i="1"/>
  <c r="G877" i="1"/>
  <c r="I877" i="1"/>
  <c r="G876" i="1"/>
  <c r="I876" i="1"/>
  <c r="G875" i="1"/>
  <c r="I875" i="1"/>
  <c r="G874" i="1"/>
  <c r="I874" i="1"/>
  <c r="J873" i="1"/>
  <c r="I873" i="1"/>
  <c r="G872" i="1"/>
  <c r="I872" i="1"/>
  <c r="G871" i="1"/>
  <c r="I871" i="1"/>
  <c r="J870" i="1"/>
  <c r="G870" i="1"/>
  <c r="J869" i="1"/>
  <c r="I869" i="1"/>
  <c r="J868" i="1"/>
  <c r="I868" i="1"/>
  <c r="J867" i="1"/>
  <c r="I867" i="1"/>
  <c r="G866" i="1"/>
  <c r="I866" i="1"/>
  <c r="G865" i="1"/>
  <c r="I864" i="1"/>
  <c r="G864" i="1"/>
  <c r="J863" i="1"/>
  <c r="I863" i="1"/>
  <c r="G862" i="1"/>
  <c r="J862" i="1"/>
  <c r="G861" i="1"/>
  <c r="G860" i="1"/>
  <c r="J860" i="1"/>
  <c r="J859" i="1"/>
  <c r="I859" i="1"/>
  <c r="J858" i="1"/>
  <c r="G858" i="1"/>
  <c r="G856" i="1"/>
  <c r="I856" i="1"/>
  <c r="I855" i="1"/>
  <c r="G855" i="1"/>
  <c r="J854" i="1"/>
  <c r="I854" i="1"/>
  <c r="G853" i="1"/>
  <c r="J853" i="1"/>
  <c r="G852" i="1"/>
  <c r="I852" i="1"/>
  <c r="I851" i="1"/>
  <c r="G851" i="1"/>
  <c r="J850" i="1"/>
  <c r="I850" i="1"/>
  <c r="I849" i="1"/>
  <c r="G849" i="1"/>
  <c r="J848" i="1"/>
  <c r="I848" i="1"/>
  <c r="I847" i="1"/>
  <c r="J846" i="1"/>
  <c r="I846" i="1"/>
  <c r="G844" i="1"/>
  <c r="I844" i="1"/>
  <c r="J844" i="1"/>
  <c r="J843" i="1"/>
  <c r="G843" i="1"/>
  <c r="J842" i="1"/>
  <c r="I842" i="1"/>
  <c r="J841" i="1"/>
  <c r="I841" i="1"/>
  <c r="J840" i="1"/>
  <c r="I840" i="1"/>
  <c r="J839" i="1"/>
  <c r="I839" i="1"/>
  <c r="J838" i="1"/>
  <c r="I838" i="1"/>
  <c r="J837" i="1"/>
  <c r="J836" i="1"/>
  <c r="I836" i="1"/>
  <c r="G835" i="1"/>
  <c r="J834" i="1"/>
  <c r="I834" i="1"/>
  <c r="G833" i="1"/>
  <c r="E832" i="1"/>
  <c r="G832" i="1" s="1"/>
  <c r="H832" i="1"/>
  <c r="K832" i="1"/>
  <c r="L832" i="1"/>
  <c r="J833" i="1" l="1"/>
  <c r="I833" i="1"/>
  <c r="E831" i="1"/>
  <c r="I832" i="1" s="1"/>
  <c r="H831" i="1"/>
  <c r="K831" i="1"/>
  <c r="L831" i="1"/>
  <c r="J832" i="1" l="1"/>
  <c r="G831" i="1"/>
  <c r="E830" i="1"/>
  <c r="G830" i="1" s="1"/>
  <c r="H830" i="1"/>
  <c r="K830" i="1"/>
  <c r="L830" i="1"/>
  <c r="I831" i="1" l="1"/>
  <c r="J831" i="1"/>
  <c r="E829" i="1"/>
  <c r="G829" i="1" s="1"/>
  <c r="H829" i="1"/>
  <c r="K829" i="1"/>
  <c r="L829" i="1"/>
  <c r="I830" i="1" l="1"/>
  <c r="J830" i="1"/>
  <c r="E828" i="1"/>
  <c r="G828" i="1" s="1"/>
  <c r="H828" i="1"/>
  <c r="K828" i="1"/>
  <c r="L828" i="1"/>
  <c r="I829" i="1" l="1"/>
  <c r="J829" i="1"/>
  <c r="E827" i="1"/>
  <c r="G827" i="1"/>
  <c r="H827" i="1"/>
  <c r="K827" i="1"/>
  <c r="L827" i="1"/>
  <c r="I828" i="1" l="1"/>
  <c r="J828" i="1"/>
  <c r="E826" i="1"/>
  <c r="G826" i="1" s="1"/>
  <c r="H826" i="1"/>
  <c r="K826" i="1"/>
  <c r="L826" i="1"/>
  <c r="J827" i="1" l="1"/>
  <c r="I827" i="1"/>
  <c r="E825" i="1"/>
  <c r="G825" i="1"/>
  <c r="H825" i="1"/>
  <c r="K825" i="1"/>
  <c r="L825" i="1"/>
  <c r="I826" i="1" l="1"/>
  <c r="J826" i="1"/>
  <c r="E824" i="1"/>
  <c r="H824" i="1"/>
  <c r="K824" i="1"/>
  <c r="L824" i="1"/>
  <c r="I825" i="1" l="1"/>
  <c r="J825" i="1"/>
  <c r="G824" i="1"/>
  <c r="E823" i="1"/>
  <c r="J824" i="1" s="1"/>
  <c r="H823" i="1"/>
  <c r="K823" i="1"/>
  <c r="L823" i="1"/>
  <c r="I824" i="1" l="1"/>
  <c r="G823" i="1"/>
  <c r="E822" i="1"/>
  <c r="G822" i="1" s="1"/>
  <c r="H822" i="1"/>
  <c r="K822" i="1"/>
  <c r="L822" i="1"/>
  <c r="J823" i="1" l="1"/>
  <c r="I823" i="1"/>
  <c r="E821" i="1"/>
  <c r="G821" i="1" s="1"/>
  <c r="H821" i="1"/>
  <c r="K821" i="1"/>
  <c r="L821" i="1"/>
  <c r="I822" i="1" l="1"/>
  <c r="J822" i="1"/>
  <c r="E820" i="1"/>
  <c r="H820" i="1"/>
  <c r="K820" i="1"/>
  <c r="L820" i="1"/>
  <c r="I821" i="1" l="1"/>
  <c r="J821" i="1"/>
  <c r="G820" i="1"/>
  <c r="E819" i="1"/>
  <c r="G819" i="1" s="1"/>
  <c r="H819" i="1"/>
  <c r="K819" i="1"/>
  <c r="L819" i="1"/>
  <c r="I820" i="1" l="1"/>
  <c r="J820" i="1"/>
  <c r="E818" i="1"/>
  <c r="H818" i="1"/>
  <c r="K818" i="1"/>
  <c r="L818" i="1"/>
  <c r="J819" i="1" l="1"/>
  <c r="G818" i="1"/>
  <c r="I819" i="1"/>
  <c r="E817" i="1"/>
  <c r="H817" i="1"/>
  <c r="K817" i="1"/>
  <c r="L817" i="1"/>
  <c r="J818" i="1" l="1"/>
  <c r="I818" i="1"/>
  <c r="G817" i="1"/>
  <c r="E816" i="1"/>
  <c r="G816" i="1" s="1"/>
  <c r="H816" i="1"/>
  <c r="K816" i="1"/>
  <c r="L816" i="1"/>
  <c r="J817" i="1" l="1"/>
  <c r="I817" i="1"/>
  <c r="E815" i="1"/>
  <c r="G815" i="1" s="1"/>
  <c r="H815" i="1"/>
  <c r="K815" i="1"/>
  <c r="L815" i="1"/>
  <c r="J816" i="1" l="1"/>
  <c r="I816" i="1"/>
  <c r="E814" i="1"/>
  <c r="G814" i="1" s="1"/>
  <c r="H814" i="1"/>
  <c r="K814" i="1"/>
  <c r="L814" i="1"/>
  <c r="I815" i="1" l="1"/>
  <c r="J815" i="1"/>
  <c r="E813" i="1"/>
  <c r="H813" i="1"/>
  <c r="K813" i="1"/>
  <c r="L813" i="1"/>
  <c r="I814" i="1" l="1"/>
  <c r="J814" i="1"/>
  <c r="G813" i="1"/>
  <c r="E812" i="1"/>
  <c r="G812" i="1" s="1"/>
  <c r="H812" i="1"/>
  <c r="K812" i="1"/>
  <c r="L812" i="1"/>
  <c r="J813" i="1" l="1"/>
  <c r="I813" i="1"/>
  <c r="E811" i="1"/>
  <c r="H811" i="1"/>
  <c r="K811" i="1"/>
  <c r="L811" i="1"/>
  <c r="I812" i="1" l="1"/>
  <c r="J812" i="1"/>
  <c r="G811" i="1"/>
  <c r="E810" i="1" l="1"/>
  <c r="G810" i="1"/>
  <c r="H810" i="1"/>
  <c r="K810" i="1"/>
  <c r="L810" i="1"/>
  <c r="I811" i="1" l="1"/>
  <c r="J811" i="1"/>
  <c r="E809" i="1"/>
  <c r="G809" i="1" s="1"/>
  <c r="H809" i="1"/>
  <c r="K809" i="1"/>
  <c r="L809" i="1"/>
  <c r="J810" i="1" l="1"/>
  <c r="I810" i="1"/>
  <c r="E808" i="1"/>
  <c r="G808" i="1" s="1"/>
  <c r="H808" i="1"/>
  <c r="K808" i="1"/>
  <c r="L808" i="1"/>
  <c r="J809" i="1" l="1"/>
  <c r="I809" i="1"/>
  <c r="E807" i="1"/>
  <c r="I808" i="1" s="1"/>
  <c r="G807" i="1"/>
  <c r="H807" i="1"/>
  <c r="K807" i="1"/>
  <c r="L807" i="1"/>
  <c r="J808" i="1" l="1"/>
  <c r="E806" i="1"/>
  <c r="G806" i="1" s="1"/>
  <c r="H806" i="1"/>
  <c r="K806" i="1"/>
  <c r="L806" i="1"/>
  <c r="J807" i="1" l="1"/>
  <c r="I807" i="1"/>
  <c r="E805" i="1"/>
  <c r="G805" i="1" s="1"/>
  <c r="H805" i="1"/>
  <c r="K805" i="1"/>
  <c r="L805" i="1"/>
  <c r="J806" i="1" l="1"/>
  <c r="I806" i="1"/>
  <c r="E804" i="1"/>
  <c r="G804" i="1" s="1"/>
  <c r="H804" i="1"/>
  <c r="I804" i="1"/>
  <c r="J804" i="1"/>
  <c r="K804" i="1"/>
  <c r="L804" i="1"/>
  <c r="J805" i="1" l="1"/>
  <c r="I805" i="1"/>
  <c r="G803" i="1"/>
  <c r="H803" i="1"/>
  <c r="I803" i="1"/>
  <c r="J803" i="1"/>
  <c r="K803" i="1"/>
  <c r="L803" i="1"/>
  <c r="G802" i="1" l="1"/>
  <c r="H802" i="1"/>
  <c r="I802" i="1"/>
  <c r="J802" i="1"/>
  <c r="K802" i="1"/>
  <c r="L802" i="1"/>
  <c r="G801" i="1" l="1"/>
  <c r="H801" i="1"/>
  <c r="I801" i="1"/>
  <c r="J801" i="1"/>
  <c r="K801" i="1"/>
  <c r="L801" i="1"/>
  <c r="G800" i="1" l="1"/>
  <c r="H800" i="1"/>
  <c r="I800" i="1"/>
  <c r="J800" i="1"/>
  <c r="K800" i="1"/>
  <c r="L800" i="1"/>
  <c r="G799" i="1" l="1"/>
  <c r="H799" i="1"/>
  <c r="I799" i="1"/>
  <c r="J799" i="1"/>
  <c r="K799" i="1"/>
  <c r="L799" i="1"/>
  <c r="G798" i="1" l="1"/>
  <c r="H798" i="1"/>
  <c r="I798" i="1"/>
  <c r="J798" i="1"/>
  <c r="K798" i="1"/>
  <c r="L798" i="1"/>
  <c r="G797" i="1" l="1"/>
  <c r="H797" i="1"/>
  <c r="I797" i="1"/>
  <c r="J797" i="1"/>
  <c r="K797" i="1"/>
  <c r="L797" i="1"/>
  <c r="G796" i="1" l="1"/>
  <c r="H796" i="1"/>
  <c r="I796" i="1"/>
  <c r="J796" i="1"/>
  <c r="K796" i="1"/>
  <c r="L796" i="1"/>
  <c r="G795" i="1" l="1"/>
  <c r="H795" i="1"/>
  <c r="I795" i="1"/>
  <c r="J795" i="1"/>
  <c r="K795" i="1"/>
  <c r="L795" i="1"/>
  <c r="G794" i="1" l="1"/>
  <c r="H794" i="1"/>
  <c r="I794" i="1"/>
  <c r="J794" i="1"/>
  <c r="K794" i="1"/>
  <c r="L794" i="1"/>
  <c r="G793" i="1" l="1"/>
  <c r="H793" i="1"/>
  <c r="I793" i="1"/>
  <c r="J793" i="1"/>
  <c r="K793" i="1"/>
  <c r="L793" i="1"/>
  <c r="G792" i="1" l="1"/>
  <c r="H792" i="1"/>
  <c r="I792" i="1"/>
  <c r="J792" i="1"/>
  <c r="K792" i="1"/>
  <c r="L792" i="1"/>
  <c r="G791" i="1" l="1"/>
  <c r="H791" i="1"/>
  <c r="I791" i="1"/>
  <c r="J791" i="1"/>
  <c r="K791" i="1"/>
  <c r="L791" i="1"/>
  <c r="G790" i="1" l="1"/>
  <c r="H790" i="1"/>
  <c r="K790" i="1"/>
  <c r="L790" i="1"/>
  <c r="H789" i="1" l="1"/>
  <c r="E789" i="1"/>
  <c r="K789" i="1"/>
  <c r="L789" i="1"/>
  <c r="J789" i="1" l="1"/>
  <c r="I790" i="1"/>
  <c r="J790" i="1"/>
  <c r="I789" i="1"/>
  <c r="G789" i="1"/>
  <c r="G788" i="1"/>
  <c r="H788" i="1"/>
  <c r="I788" i="1"/>
  <c r="J788" i="1"/>
  <c r="K788" i="1"/>
  <c r="L788" i="1"/>
  <c r="G787" i="1" l="1"/>
  <c r="H787" i="1"/>
  <c r="I787" i="1"/>
  <c r="J787" i="1"/>
  <c r="K787" i="1"/>
  <c r="L787" i="1"/>
  <c r="G786" i="1" l="1"/>
  <c r="H786" i="1"/>
  <c r="I786" i="1"/>
  <c r="J786" i="1"/>
  <c r="K786" i="1"/>
  <c r="L786" i="1"/>
  <c r="G785" i="1" l="1"/>
  <c r="H785" i="1"/>
  <c r="I785" i="1"/>
  <c r="J785" i="1"/>
  <c r="K785" i="1"/>
  <c r="L785" i="1"/>
  <c r="G784" i="1" l="1"/>
  <c r="H784" i="1"/>
  <c r="I784" i="1"/>
  <c r="J784" i="1"/>
  <c r="K784" i="1"/>
  <c r="L784" i="1"/>
  <c r="G783" i="1" l="1"/>
  <c r="H783" i="1"/>
  <c r="I783" i="1"/>
  <c r="J783" i="1"/>
  <c r="K783" i="1"/>
  <c r="L783" i="1"/>
  <c r="G782" i="1" l="1"/>
  <c r="H782" i="1"/>
  <c r="I782" i="1"/>
  <c r="J782" i="1"/>
  <c r="K782" i="1"/>
  <c r="L782" i="1"/>
  <c r="G781" i="1" l="1"/>
  <c r="H781" i="1"/>
  <c r="I781" i="1"/>
  <c r="J781" i="1"/>
  <c r="K781" i="1"/>
  <c r="L781" i="1"/>
  <c r="G780" i="1" l="1"/>
  <c r="H780" i="1"/>
  <c r="I780" i="1"/>
  <c r="J780" i="1"/>
  <c r="K780" i="1"/>
  <c r="L780" i="1"/>
  <c r="G779" i="1" l="1"/>
  <c r="H779" i="1"/>
  <c r="I779" i="1"/>
  <c r="J779" i="1"/>
  <c r="K779" i="1"/>
  <c r="L779" i="1"/>
  <c r="G778" i="1" l="1"/>
  <c r="H778" i="1"/>
  <c r="I778" i="1"/>
  <c r="J778" i="1"/>
  <c r="K778" i="1"/>
  <c r="L778" i="1"/>
  <c r="G777" i="1" l="1"/>
  <c r="H777" i="1"/>
  <c r="I777" i="1"/>
  <c r="J777" i="1"/>
  <c r="K777" i="1"/>
  <c r="L777" i="1"/>
  <c r="G776" i="1" l="1"/>
  <c r="H776" i="1"/>
  <c r="I776" i="1"/>
  <c r="J776" i="1"/>
  <c r="K776" i="1"/>
  <c r="L776" i="1"/>
  <c r="G775" i="1" l="1"/>
  <c r="H775" i="1"/>
  <c r="I775" i="1"/>
  <c r="J775" i="1"/>
  <c r="K775" i="1"/>
  <c r="L775" i="1"/>
  <c r="G774" i="1" l="1"/>
  <c r="H774" i="1"/>
  <c r="I774" i="1"/>
  <c r="J774" i="1"/>
  <c r="K774" i="1"/>
  <c r="L774" i="1"/>
  <c r="G773" i="1" l="1"/>
  <c r="H773" i="1"/>
  <c r="I773" i="1"/>
  <c r="J773" i="1"/>
  <c r="K773" i="1"/>
  <c r="L773" i="1"/>
  <c r="G772" i="1" l="1"/>
  <c r="H772" i="1"/>
  <c r="I772" i="1"/>
  <c r="J772" i="1"/>
  <c r="K772" i="1"/>
  <c r="L772" i="1"/>
  <c r="G771" i="1" l="1"/>
  <c r="H771" i="1"/>
  <c r="I771" i="1"/>
  <c r="J771" i="1"/>
  <c r="K771" i="1"/>
  <c r="L771" i="1"/>
  <c r="G770" i="1" l="1"/>
  <c r="H770" i="1"/>
  <c r="I770" i="1"/>
  <c r="J770" i="1"/>
  <c r="K770" i="1"/>
  <c r="L770" i="1"/>
  <c r="G769" i="1" l="1"/>
  <c r="H769" i="1"/>
  <c r="I769" i="1"/>
  <c r="J769" i="1"/>
  <c r="K769" i="1"/>
  <c r="L769" i="1"/>
  <c r="G768" i="1" l="1"/>
  <c r="H768" i="1"/>
  <c r="I768" i="1"/>
  <c r="J768" i="1"/>
  <c r="K768" i="1"/>
  <c r="L768" i="1"/>
  <c r="G767" i="1" l="1"/>
  <c r="H767" i="1"/>
  <c r="I767" i="1"/>
  <c r="J767" i="1"/>
  <c r="K767" i="1"/>
  <c r="L767" i="1"/>
  <c r="G766" i="1" l="1"/>
  <c r="H766" i="1"/>
  <c r="I766" i="1"/>
  <c r="J766" i="1"/>
  <c r="K766" i="1"/>
  <c r="L766" i="1"/>
  <c r="G765" i="1" l="1"/>
  <c r="H765" i="1"/>
  <c r="I765" i="1"/>
  <c r="J765" i="1"/>
  <c r="K765" i="1"/>
  <c r="L765" i="1"/>
  <c r="G764" i="1" l="1"/>
  <c r="H764" i="1"/>
  <c r="I764" i="1"/>
  <c r="J764" i="1"/>
  <c r="K764" i="1"/>
  <c r="L764" i="1"/>
  <c r="G763" i="1" l="1"/>
  <c r="H763" i="1"/>
  <c r="I763" i="1"/>
  <c r="J763" i="1"/>
  <c r="K763" i="1"/>
  <c r="L763" i="1"/>
  <c r="G762" i="1" l="1"/>
  <c r="H762" i="1"/>
  <c r="I762" i="1"/>
  <c r="J762" i="1"/>
  <c r="K762" i="1"/>
  <c r="L762" i="1"/>
  <c r="G761" i="1" l="1"/>
  <c r="H761" i="1"/>
  <c r="I761" i="1"/>
  <c r="J761" i="1"/>
  <c r="K761" i="1"/>
  <c r="L761" i="1"/>
  <c r="G760" i="1" l="1"/>
  <c r="H760" i="1"/>
  <c r="I760" i="1"/>
  <c r="J760" i="1"/>
  <c r="K760" i="1"/>
  <c r="L760" i="1"/>
  <c r="G759" i="1" l="1"/>
  <c r="H759" i="1"/>
  <c r="I759" i="1"/>
  <c r="J759" i="1"/>
  <c r="K759" i="1"/>
  <c r="L759" i="1"/>
  <c r="G758" i="1" l="1"/>
  <c r="H758" i="1"/>
  <c r="I758" i="1"/>
  <c r="J758" i="1"/>
  <c r="K758" i="1"/>
  <c r="L758" i="1"/>
  <c r="G757" i="1" l="1"/>
  <c r="H757" i="1"/>
  <c r="I757" i="1"/>
  <c r="J757" i="1"/>
  <c r="K757" i="1"/>
  <c r="L757" i="1"/>
  <c r="G756" i="1" l="1"/>
  <c r="H756" i="1"/>
  <c r="I756" i="1"/>
  <c r="J756" i="1"/>
  <c r="K756" i="1"/>
  <c r="L756" i="1"/>
  <c r="G755" i="1" l="1"/>
  <c r="H755" i="1"/>
  <c r="I755" i="1"/>
  <c r="J755" i="1"/>
  <c r="K755" i="1"/>
  <c r="L755" i="1"/>
  <c r="H754" i="1" l="1"/>
  <c r="K754" i="1"/>
  <c r="L754" i="1"/>
  <c r="G754" i="1" l="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25" i="1"/>
  <c r="J754" i="1" l="1"/>
  <c r="I754" i="1"/>
  <c r="G753" i="1"/>
  <c r="H753" i="1"/>
  <c r="I753" i="1"/>
  <c r="J753" i="1"/>
  <c r="K753" i="1"/>
  <c r="L753" i="1"/>
  <c r="G752" i="1" l="1"/>
  <c r="H752" i="1"/>
  <c r="I752" i="1"/>
  <c r="J752" i="1"/>
  <c r="K752" i="1"/>
  <c r="L752" i="1"/>
  <c r="G751" i="1" l="1"/>
  <c r="H751" i="1"/>
  <c r="I751" i="1"/>
  <c r="J751" i="1"/>
  <c r="K751" i="1"/>
  <c r="L751" i="1"/>
  <c r="G750" i="1" l="1"/>
  <c r="H750" i="1"/>
  <c r="I750" i="1"/>
  <c r="J750" i="1"/>
  <c r="K750" i="1"/>
  <c r="L750" i="1"/>
  <c r="G749" i="1" l="1"/>
  <c r="H749" i="1"/>
  <c r="I749" i="1"/>
  <c r="J749" i="1"/>
  <c r="K749" i="1"/>
  <c r="L749" i="1"/>
  <c r="I748" i="1" l="1"/>
  <c r="G748" i="1"/>
  <c r="H748" i="1"/>
  <c r="K748" i="1"/>
  <c r="L748" i="1"/>
  <c r="J748" i="1" l="1"/>
  <c r="G747" i="1"/>
  <c r="H747" i="1"/>
  <c r="I747" i="1"/>
  <c r="J747" i="1"/>
  <c r="K747" i="1"/>
  <c r="L747" i="1"/>
  <c r="L746" i="1" l="1"/>
  <c r="K746" i="1"/>
  <c r="J746" i="1"/>
  <c r="I746" i="1"/>
  <c r="H746" i="1"/>
  <c r="G746" i="1"/>
  <c r="L745" i="1" l="1"/>
  <c r="K745" i="1"/>
  <c r="J745" i="1"/>
  <c r="I745" i="1"/>
  <c r="H745" i="1"/>
  <c r="G745" i="1"/>
  <c r="G744" i="1" l="1"/>
  <c r="H744" i="1"/>
  <c r="I744" i="1"/>
  <c r="J744" i="1"/>
  <c r="K744" i="1"/>
  <c r="L744" i="1"/>
  <c r="G743" i="1" l="1"/>
  <c r="H743" i="1"/>
  <c r="I743" i="1"/>
  <c r="J743" i="1"/>
  <c r="K743" i="1"/>
  <c r="L743" i="1"/>
  <c r="G742" i="1" l="1"/>
  <c r="H742" i="1"/>
  <c r="J742" i="1"/>
  <c r="K742" i="1"/>
  <c r="L742" i="1"/>
  <c r="I742" i="1" l="1"/>
  <c r="G741" i="1"/>
  <c r="H741" i="1"/>
  <c r="I741" i="1"/>
  <c r="J741" i="1"/>
  <c r="K741" i="1"/>
  <c r="L741" i="1"/>
  <c r="G740" i="1" l="1"/>
  <c r="H740" i="1"/>
  <c r="I740" i="1"/>
  <c r="J740" i="1"/>
  <c r="K740" i="1"/>
  <c r="L740" i="1"/>
  <c r="G739" i="1" l="1"/>
  <c r="H739" i="1"/>
  <c r="I739" i="1"/>
  <c r="J739" i="1"/>
  <c r="K739" i="1"/>
  <c r="L739" i="1"/>
  <c r="G738" i="1" l="1"/>
  <c r="H738" i="1"/>
  <c r="I738" i="1"/>
  <c r="J738" i="1"/>
  <c r="K738" i="1"/>
  <c r="L738" i="1"/>
  <c r="I737" i="1" l="1"/>
  <c r="G737" i="1"/>
  <c r="H737" i="1"/>
  <c r="K737" i="1"/>
  <c r="L737" i="1"/>
  <c r="J737" i="1" l="1"/>
  <c r="G736" i="1"/>
  <c r="H736" i="1"/>
  <c r="I736" i="1"/>
  <c r="J736" i="1"/>
  <c r="K736" i="1"/>
  <c r="L736" i="1"/>
  <c r="G735" i="1" l="1"/>
  <c r="H735" i="1"/>
  <c r="I735" i="1"/>
  <c r="J735" i="1"/>
  <c r="K735" i="1"/>
  <c r="L735" i="1"/>
  <c r="G734" i="1" l="1"/>
  <c r="H734" i="1"/>
  <c r="I734" i="1"/>
  <c r="J734" i="1"/>
  <c r="K734" i="1"/>
  <c r="L734" i="1"/>
  <c r="G733" i="1" l="1"/>
  <c r="H733" i="1"/>
  <c r="I733" i="1"/>
  <c r="J733" i="1"/>
  <c r="K733" i="1"/>
  <c r="L733" i="1"/>
  <c r="G732" i="1" l="1"/>
  <c r="H732" i="1"/>
  <c r="I732" i="1"/>
  <c r="J732" i="1"/>
  <c r="K732" i="1"/>
  <c r="L732" i="1"/>
  <c r="G731" i="1" l="1"/>
  <c r="H731" i="1"/>
  <c r="I731" i="1"/>
  <c r="J731" i="1"/>
  <c r="K731" i="1"/>
  <c r="L731" i="1"/>
  <c r="G730" i="1" l="1"/>
  <c r="H730" i="1"/>
  <c r="I730" i="1"/>
  <c r="J730" i="1"/>
  <c r="K730" i="1"/>
  <c r="L730" i="1"/>
  <c r="G729" i="1" l="1"/>
  <c r="H729" i="1"/>
  <c r="K729" i="1"/>
  <c r="L729" i="1"/>
  <c r="H728" i="1" l="1"/>
  <c r="K728" i="1"/>
  <c r="L728" i="1"/>
  <c r="I729" i="1" l="1"/>
  <c r="J729" i="1"/>
  <c r="G728" i="1"/>
  <c r="I728" i="1"/>
  <c r="H727" i="1"/>
  <c r="K727" i="1"/>
  <c r="L727" i="1"/>
  <c r="J728" i="1" l="1"/>
  <c r="G727" i="1"/>
  <c r="H726" i="1"/>
  <c r="K726" i="1"/>
  <c r="L726" i="1"/>
  <c r="I727" i="1"/>
  <c r="G726" i="1" l="1"/>
  <c r="J727" i="1"/>
  <c r="E720" i="1"/>
  <c r="E721" i="1"/>
  <c r="E722" i="1"/>
  <c r="E723" i="1"/>
  <c r="E724" i="1"/>
  <c r="G724" i="1" s="1"/>
  <c r="G725" i="1"/>
  <c r="H725" i="1"/>
  <c r="K725" i="1"/>
  <c r="L725" i="1"/>
  <c r="J725" i="1" l="1"/>
  <c r="J726" i="1"/>
  <c r="I726" i="1"/>
  <c r="I725" i="1"/>
  <c r="H724" i="1"/>
  <c r="K724" i="1"/>
  <c r="L724" i="1"/>
  <c r="J724" i="1" l="1"/>
  <c r="H723" i="1"/>
  <c r="K723" i="1"/>
  <c r="L723" i="1"/>
  <c r="G723" i="1" l="1"/>
  <c r="I724" i="1"/>
  <c r="G722" i="1"/>
  <c r="H722" i="1"/>
  <c r="K722" i="1"/>
  <c r="L722" i="1"/>
  <c r="J723" i="1" l="1"/>
  <c r="I723" i="1"/>
  <c r="H721" i="1"/>
  <c r="K721" i="1"/>
  <c r="L721" i="1"/>
  <c r="G721" i="1"/>
  <c r="I722" i="1" l="1"/>
  <c r="J722" i="1"/>
  <c r="G720" i="1"/>
  <c r="H720" i="1"/>
  <c r="K720" i="1"/>
  <c r="L720" i="1"/>
  <c r="I721" i="1" l="1"/>
  <c r="J721" i="1"/>
  <c r="E719" i="1"/>
  <c r="H719" i="1"/>
  <c r="K719" i="1"/>
  <c r="L719" i="1"/>
  <c r="G719" i="1" l="1"/>
  <c r="I720" i="1"/>
  <c r="J720" i="1"/>
  <c r="E718" i="1"/>
  <c r="G718" i="1" s="1"/>
  <c r="H718" i="1"/>
  <c r="K718" i="1"/>
  <c r="L718" i="1"/>
  <c r="J719" i="1" l="1"/>
  <c r="I719" i="1"/>
  <c r="E717" i="1"/>
  <c r="G717" i="1" s="1"/>
  <c r="H717" i="1"/>
  <c r="K717" i="1"/>
  <c r="L717" i="1"/>
  <c r="I718" i="1" l="1"/>
  <c r="J718" i="1"/>
  <c r="E716" i="1"/>
  <c r="I717" i="1" s="1"/>
  <c r="H716" i="1"/>
  <c r="K716" i="1"/>
  <c r="L716" i="1"/>
  <c r="J717" i="1" l="1"/>
  <c r="G716" i="1"/>
  <c r="E715" i="1"/>
  <c r="H715" i="1"/>
  <c r="K715" i="1"/>
  <c r="L715" i="1"/>
  <c r="G715" i="1" l="1"/>
  <c r="J716" i="1"/>
  <c r="I716" i="1"/>
  <c r="E714" i="1"/>
  <c r="G714" i="1" s="1"/>
  <c r="H714" i="1"/>
  <c r="K714" i="1"/>
  <c r="L714" i="1"/>
  <c r="J715" i="1" l="1"/>
  <c r="I715" i="1"/>
  <c r="E713" i="1"/>
  <c r="G713" i="1" s="1"/>
  <c r="H713" i="1"/>
  <c r="K713" i="1"/>
  <c r="L713" i="1"/>
  <c r="I714" i="1" l="1"/>
  <c r="J714" i="1"/>
  <c r="E712" i="1"/>
  <c r="G712" i="1" s="1"/>
  <c r="H712" i="1"/>
  <c r="K712" i="1"/>
  <c r="L712" i="1"/>
  <c r="I713" i="1" l="1"/>
  <c r="J713" i="1"/>
  <c r="E711" i="1"/>
  <c r="G711" i="1" s="1"/>
  <c r="H711" i="1"/>
  <c r="K711" i="1"/>
  <c r="L711" i="1"/>
  <c r="J712" i="1" l="1"/>
  <c r="I712" i="1"/>
  <c r="E710" i="1"/>
  <c r="G710" i="1" s="1"/>
  <c r="H710" i="1"/>
  <c r="K710" i="1"/>
  <c r="L710" i="1"/>
  <c r="J711" i="1" l="1"/>
  <c r="I711" i="1"/>
  <c r="E709" i="1"/>
  <c r="G709" i="1" s="1"/>
  <c r="H709" i="1"/>
  <c r="K709" i="1"/>
  <c r="L709" i="1"/>
  <c r="I710" i="1" l="1"/>
  <c r="J710" i="1"/>
  <c r="E708" i="1"/>
  <c r="G708" i="1" s="1"/>
  <c r="H708" i="1"/>
  <c r="K708" i="1"/>
  <c r="L708" i="1"/>
  <c r="I709" i="1" l="1"/>
  <c r="J709" i="1"/>
  <c r="E707" i="1"/>
  <c r="H707" i="1"/>
  <c r="K707" i="1"/>
  <c r="L707" i="1"/>
  <c r="G707" i="1" l="1"/>
  <c r="J708" i="1"/>
  <c r="I708" i="1"/>
  <c r="E706" i="1"/>
  <c r="G706" i="1" s="1"/>
  <c r="H706" i="1"/>
  <c r="K706" i="1"/>
  <c r="L706" i="1"/>
  <c r="J707" i="1" l="1"/>
  <c r="I707" i="1"/>
  <c r="E705" i="1"/>
  <c r="J706" i="1" s="1"/>
  <c r="H705" i="1"/>
  <c r="K705" i="1"/>
  <c r="L705" i="1"/>
  <c r="I706" i="1" l="1"/>
  <c r="G705" i="1"/>
  <c r="E704" i="1"/>
  <c r="I705" i="1" s="1"/>
  <c r="H704" i="1"/>
  <c r="K704" i="1"/>
  <c r="L704" i="1"/>
  <c r="J705" i="1" l="1"/>
  <c r="G704" i="1"/>
  <c r="E703" i="1"/>
  <c r="H703" i="1"/>
  <c r="K703" i="1"/>
  <c r="L703" i="1"/>
  <c r="J704" i="1" l="1"/>
  <c r="I704" i="1"/>
  <c r="G703" i="1"/>
  <c r="E702" i="1"/>
  <c r="I703" i="1" s="1"/>
  <c r="H702" i="1"/>
  <c r="K702" i="1"/>
  <c r="L702" i="1"/>
  <c r="J703" i="1" l="1"/>
  <c r="G702" i="1"/>
  <c r="H701" i="1"/>
  <c r="K701" i="1"/>
  <c r="L701" i="1"/>
  <c r="E701" i="1"/>
  <c r="G701" i="1" l="1"/>
  <c r="J702" i="1"/>
  <c r="I702" i="1"/>
  <c r="E700" i="1"/>
  <c r="J701" i="1" s="1"/>
  <c r="H700" i="1"/>
  <c r="K700" i="1"/>
  <c r="L700" i="1"/>
  <c r="H699" i="1"/>
  <c r="E699" i="1"/>
  <c r="G699" i="1" s="1"/>
  <c r="K699" i="1"/>
  <c r="L699" i="1"/>
  <c r="E698" i="1"/>
  <c r="H698" i="1"/>
  <c r="K698" i="1"/>
  <c r="L698" i="1"/>
  <c r="E697" i="1"/>
  <c r="G697" i="1" s="1"/>
  <c r="H697" i="1"/>
  <c r="K697" i="1"/>
  <c r="L697" i="1"/>
  <c r="E696" i="1"/>
  <c r="G696" i="1" s="1"/>
  <c r="H696" i="1"/>
  <c r="K696" i="1"/>
  <c r="L696" i="1"/>
  <c r="G700" i="1" l="1"/>
  <c r="J698" i="1"/>
  <c r="G698" i="1"/>
  <c r="J697" i="1"/>
  <c r="J699" i="1"/>
  <c r="I698" i="1"/>
  <c r="I700" i="1"/>
  <c r="I697" i="1"/>
  <c r="J700" i="1"/>
  <c r="I701" i="1"/>
  <c r="I699" i="1"/>
  <c r="E695" i="1"/>
  <c r="H695" i="1"/>
  <c r="K695" i="1"/>
  <c r="L695" i="1"/>
  <c r="G695" i="1" l="1"/>
  <c r="J696" i="1"/>
  <c r="I696" i="1"/>
  <c r="E694" i="1"/>
  <c r="I695" i="1" s="1"/>
  <c r="H694" i="1"/>
  <c r="K694" i="1"/>
  <c r="L694" i="1"/>
  <c r="G694" i="1" l="1"/>
  <c r="J695" i="1"/>
  <c r="E693" i="1" l="1"/>
  <c r="H693" i="1"/>
  <c r="K693" i="1"/>
  <c r="L693" i="1"/>
  <c r="J694" i="1" l="1"/>
  <c r="I694" i="1"/>
  <c r="G693" i="1"/>
  <c r="E692" i="1"/>
  <c r="G692" i="1" s="1"/>
  <c r="H692" i="1"/>
  <c r="K692" i="1"/>
  <c r="L692" i="1"/>
  <c r="J693" i="1" l="1"/>
  <c r="I693" i="1"/>
  <c r="E691" i="1"/>
  <c r="G691" i="1" s="1"/>
  <c r="H691" i="1"/>
  <c r="K691" i="1"/>
  <c r="L691" i="1"/>
  <c r="I692" i="1" l="1"/>
  <c r="J692" i="1"/>
  <c r="E690" i="1"/>
  <c r="G690" i="1" s="1"/>
  <c r="H690" i="1"/>
  <c r="K690" i="1"/>
  <c r="L690" i="1"/>
  <c r="I691" i="1" l="1"/>
  <c r="J691" i="1"/>
  <c r="E689" i="1"/>
  <c r="H689" i="1"/>
  <c r="K689" i="1"/>
  <c r="L689" i="1"/>
  <c r="I690" i="1" l="1"/>
  <c r="J690" i="1"/>
  <c r="G689" i="1"/>
  <c r="E688" i="1"/>
  <c r="G688" i="1" s="1"/>
  <c r="H688" i="1"/>
  <c r="K688" i="1"/>
  <c r="L688" i="1"/>
  <c r="J689" i="1" l="1"/>
  <c r="I689" i="1"/>
  <c r="E687" i="1"/>
  <c r="G687" i="1" s="1"/>
  <c r="H687" i="1"/>
  <c r="K687" i="1"/>
  <c r="L687" i="1"/>
  <c r="I688" i="1" l="1"/>
  <c r="J688" i="1"/>
  <c r="E686" i="1"/>
  <c r="H686" i="1"/>
  <c r="K686" i="1"/>
  <c r="L686" i="1"/>
  <c r="G686" i="1" l="1"/>
  <c r="J687" i="1"/>
  <c r="I687" i="1"/>
  <c r="E685" i="1"/>
  <c r="H685" i="1"/>
  <c r="K685" i="1"/>
  <c r="L685" i="1"/>
  <c r="I686" i="1" l="1"/>
  <c r="G685" i="1"/>
  <c r="J686" i="1"/>
  <c r="E684" i="1"/>
  <c r="G684" i="1" s="1"/>
  <c r="H684" i="1"/>
  <c r="K684" i="1"/>
  <c r="L684" i="1"/>
  <c r="J685" i="1" l="1"/>
  <c r="I685" i="1"/>
  <c r="E683" i="1"/>
  <c r="G683" i="1" s="1"/>
  <c r="H683" i="1"/>
  <c r="K683" i="1"/>
  <c r="L683" i="1"/>
  <c r="I684" i="1" l="1"/>
  <c r="J684" i="1"/>
  <c r="E682" i="1"/>
  <c r="J683" i="1" s="1"/>
  <c r="H682" i="1"/>
  <c r="K682" i="1"/>
  <c r="L682" i="1"/>
  <c r="G682" i="1" l="1"/>
  <c r="I683" i="1"/>
  <c r="E681" i="1"/>
  <c r="H681" i="1"/>
  <c r="K681" i="1"/>
  <c r="L681" i="1"/>
  <c r="J682" i="1" l="1"/>
  <c r="I682" i="1"/>
  <c r="G681" i="1"/>
  <c r="E680" i="1"/>
  <c r="G680" i="1" s="1"/>
  <c r="H680" i="1"/>
  <c r="K680" i="1"/>
  <c r="L680" i="1"/>
  <c r="J681" i="1" l="1"/>
  <c r="I681" i="1"/>
  <c r="E679" i="1"/>
  <c r="G679" i="1"/>
  <c r="H679" i="1"/>
  <c r="K679" i="1"/>
  <c r="L679" i="1"/>
  <c r="J680" i="1" l="1"/>
  <c r="I680" i="1"/>
  <c r="E678" i="1"/>
  <c r="G678" i="1" s="1"/>
  <c r="H678" i="1"/>
  <c r="K678" i="1"/>
  <c r="L678" i="1"/>
  <c r="J679" i="1" l="1"/>
  <c r="I679" i="1"/>
  <c r="E677" i="1"/>
  <c r="G677" i="1" s="1"/>
  <c r="H677" i="1"/>
  <c r="K677" i="1"/>
  <c r="L677" i="1"/>
  <c r="I678" i="1" l="1"/>
  <c r="J678" i="1"/>
  <c r="E676" i="1"/>
  <c r="G676" i="1" s="1"/>
  <c r="H676" i="1"/>
  <c r="K676" i="1"/>
  <c r="L676" i="1"/>
  <c r="I677" i="1" l="1"/>
  <c r="J677" i="1"/>
  <c r="H675" i="1"/>
  <c r="E675" i="1" l="1"/>
  <c r="K675" i="1"/>
  <c r="L675" i="1"/>
  <c r="I676" i="1" l="1"/>
  <c r="J676" i="1"/>
  <c r="G675" i="1"/>
  <c r="E674" i="1"/>
  <c r="G674" i="1" s="1"/>
  <c r="H674" i="1"/>
  <c r="K674" i="1"/>
  <c r="L674" i="1"/>
  <c r="J675" i="1" l="1"/>
  <c r="I675" i="1"/>
  <c r="E673" i="1"/>
  <c r="H673" i="1"/>
  <c r="K673" i="1"/>
  <c r="L673" i="1"/>
  <c r="J674" i="1" l="1"/>
  <c r="I674" i="1"/>
  <c r="G673" i="1"/>
  <c r="E672" i="1"/>
  <c r="G672" i="1" s="1"/>
  <c r="H672" i="1"/>
  <c r="K672" i="1"/>
  <c r="L672" i="1"/>
  <c r="J673" i="1" l="1"/>
  <c r="I673" i="1"/>
  <c r="E671" i="1"/>
  <c r="I672" i="1" s="1"/>
  <c r="G671" i="1"/>
  <c r="H671" i="1"/>
  <c r="K671" i="1"/>
  <c r="L671" i="1"/>
  <c r="J672" i="1" l="1"/>
  <c r="E670" i="1"/>
  <c r="G670" i="1"/>
  <c r="H670" i="1"/>
  <c r="K670" i="1"/>
  <c r="L670" i="1"/>
  <c r="J671" i="1" l="1"/>
  <c r="I671" i="1"/>
  <c r="E669" i="1"/>
  <c r="G669" i="1" s="1"/>
  <c r="H669" i="1"/>
  <c r="K669" i="1"/>
  <c r="L669" i="1"/>
  <c r="J670" i="1" l="1"/>
  <c r="I670" i="1"/>
  <c r="E668" i="1"/>
  <c r="G668" i="1"/>
  <c r="H668" i="1"/>
  <c r="K668" i="1"/>
  <c r="L668" i="1"/>
  <c r="J669" i="1" l="1"/>
  <c r="I669" i="1"/>
  <c r="E667" i="1"/>
  <c r="I668" i="1" s="1"/>
  <c r="H667" i="1"/>
  <c r="K667" i="1"/>
  <c r="L667" i="1"/>
  <c r="J668" i="1" l="1"/>
  <c r="G667" i="1"/>
  <c r="E666" i="1"/>
  <c r="H666" i="1"/>
  <c r="K666" i="1"/>
  <c r="L666" i="1"/>
  <c r="G666" i="1" l="1"/>
  <c r="J667" i="1"/>
  <c r="I667" i="1"/>
  <c r="E665" i="1"/>
  <c r="G665" i="1" s="1"/>
  <c r="H665" i="1"/>
  <c r="K665" i="1"/>
  <c r="L665" i="1"/>
  <c r="I666" i="1" l="1"/>
  <c r="J666" i="1"/>
  <c r="E664" i="1"/>
  <c r="G664" i="1" s="1"/>
  <c r="H664" i="1"/>
  <c r="K664" i="1"/>
  <c r="L664" i="1"/>
  <c r="J665" i="1" l="1"/>
  <c r="I665" i="1"/>
  <c r="E663" i="1"/>
  <c r="G663" i="1" s="1"/>
  <c r="H663" i="1"/>
  <c r="K663" i="1"/>
  <c r="L663" i="1"/>
  <c r="I664" i="1" l="1"/>
  <c r="J664" i="1"/>
  <c r="E662" i="1"/>
  <c r="G662" i="1" s="1"/>
  <c r="H662" i="1"/>
  <c r="K662" i="1"/>
  <c r="L662" i="1"/>
  <c r="I663" i="1" l="1"/>
  <c r="J663" i="1"/>
  <c r="E661" i="1"/>
  <c r="H661" i="1"/>
  <c r="K661" i="1"/>
  <c r="L661" i="1"/>
  <c r="J662" i="1" l="1"/>
  <c r="I662" i="1"/>
  <c r="G661" i="1"/>
  <c r="E660" i="1"/>
  <c r="I661" i="1" s="1"/>
  <c r="H660" i="1"/>
  <c r="K660" i="1"/>
  <c r="L660" i="1"/>
  <c r="J661" i="1" l="1"/>
  <c r="G660" i="1"/>
  <c r="E659" i="1"/>
  <c r="G659" i="1" s="1"/>
  <c r="H659" i="1"/>
  <c r="K659" i="1"/>
  <c r="L659" i="1"/>
  <c r="I660" i="1" l="1"/>
  <c r="J660" i="1"/>
  <c r="E658" i="1"/>
  <c r="G658" i="1" s="1"/>
  <c r="H658" i="1"/>
  <c r="K658" i="1"/>
  <c r="L658" i="1"/>
  <c r="I659" i="1" l="1"/>
  <c r="J659" i="1"/>
  <c r="E657" i="1"/>
  <c r="H657" i="1"/>
  <c r="K657" i="1"/>
  <c r="L657" i="1"/>
  <c r="G657" i="1" l="1"/>
  <c r="J658" i="1"/>
  <c r="I658" i="1"/>
  <c r="E656" i="1"/>
  <c r="G656" i="1" s="1"/>
  <c r="H656" i="1"/>
  <c r="K656" i="1"/>
  <c r="L656" i="1"/>
  <c r="J657" i="1" l="1"/>
  <c r="I657" i="1"/>
  <c r="E655" i="1"/>
  <c r="H655" i="1"/>
  <c r="K655" i="1"/>
  <c r="L655" i="1"/>
  <c r="I656" i="1" l="1"/>
  <c r="J656" i="1"/>
  <c r="G655" i="1"/>
  <c r="E654" i="1"/>
  <c r="G654" i="1" s="1"/>
  <c r="H654" i="1"/>
  <c r="K654" i="1"/>
  <c r="L654" i="1"/>
  <c r="J655" i="1" l="1"/>
  <c r="I655" i="1"/>
  <c r="E653" i="1"/>
  <c r="G653" i="1" s="1"/>
  <c r="H653" i="1"/>
  <c r="K653" i="1"/>
  <c r="L653" i="1"/>
  <c r="J654" i="1" l="1"/>
  <c r="I654" i="1"/>
  <c r="E652" i="1"/>
  <c r="J653" i="1" s="1"/>
  <c r="H652" i="1"/>
  <c r="K652" i="1"/>
  <c r="L652" i="1"/>
  <c r="I653" i="1" l="1"/>
  <c r="G652" i="1"/>
  <c r="E651" i="1"/>
  <c r="H651" i="1"/>
  <c r="K651" i="1"/>
  <c r="L651" i="1"/>
  <c r="G651" i="1" l="1"/>
  <c r="J652" i="1"/>
  <c r="I652" i="1"/>
  <c r="E650" i="1"/>
  <c r="G650" i="1" s="1"/>
  <c r="H650" i="1"/>
  <c r="K650" i="1"/>
  <c r="L650" i="1"/>
  <c r="I651" i="1" l="1"/>
  <c r="J651" i="1"/>
  <c r="E649" i="1"/>
  <c r="J650" i="1" s="1"/>
  <c r="H649" i="1"/>
  <c r="K649" i="1"/>
  <c r="L649" i="1"/>
  <c r="I650" i="1" l="1"/>
  <c r="G649" i="1"/>
  <c r="E648" i="1"/>
  <c r="G648" i="1" s="1"/>
  <c r="H648" i="1"/>
  <c r="K648" i="1"/>
  <c r="L648" i="1"/>
  <c r="J649" i="1" l="1"/>
  <c r="I649" i="1"/>
  <c r="E647" i="1"/>
  <c r="I648" i="1" s="1"/>
  <c r="H647" i="1"/>
  <c r="K647" i="1"/>
  <c r="L647" i="1"/>
  <c r="G647" i="1" l="1"/>
  <c r="J648" i="1"/>
  <c r="E646" i="1"/>
  <c r="G646" i="1" s="1"/>
  <c r="H646" i="1"/>
  <c r="K646" i="1"/>
  <c r="L646" i="1"/>
  <c r="J647" i="1" l="1"/>
  <c r="I647" i="1"/>
  <c r="E645" i="1"/>
  <c r="G645" i="1" s="1"/>
  <c r="H645" i="1"/>
  <c r="K645" i="1"/>
  <c r="L645" i="1"/>
  <c r="I646" i="1" l="1"/>
  <c r="J646" i="1"/>
  <c r="E644" i="1"/>
  <c r="H644" i="1"/>
  <c r="K644" i="1"/>
  <c r="L644" i="1"/>
  <c r="J645" i="1" l="1"/>
  <c r="I645" i="1"/>
  <c r="G644" i="1"/>
  <c r="E643" i="1"/>
  <c r="G643" i="1" s="1"/>
  <c r="H643" i="1"/>
  <c r="K643" i="1"/>
  <c r="L643" i="1"/>
  <c r="J644" i="1" l="1"/>
  <c r="I644" i="1"/>
  <c r="E642" i="1"/>
  <c r="H642" i="1"/>
  <c r="K642" i="1"/>
  <c r="L642" i="1"/>
  <c r="G642" i="1" l="1"/>
  <c r="J643" i="1"/>
  <c r="I643" i="1"/>
  <c r="E641" i="1"/>
  <c r="G641" i="1" s="1"/>
  <c r="H641" i="1"/>
  <c r="K641" i="1"/>
  <c r="L641" i="1"/>
  <c r="J642" i="1" l="1"/>
  <c r="I642" i="1"/>
  <c r="E640" i="1"/>
  <c r="J641" i="1" s="1"/>
  <c r="H640" i="1"/>
  <c r="K640" i="1"/>
  <c r="L640" i="1"/>
  <c r="I641" i="1" l="1"/>
  <c r="G640" i="1"/>
  <c r="E639" i="1"/>
  <c r="G639" i="1" s="1"/>
  <c r="H639" i="1"/>
  <c r="K639" i="1"/>
  <c r="L639" i="1"/>
  <c r="J640" i="1" l="1"/>
  <c r="I640" i="1"/>
  <c r="L638" i="1"/>
  <c r="K638" i="1"/>
  <c r="H638" i="1"/>
  <c r="E638" i="1"/>
  <c r="J639" i="1" s="1"/>
  <c r="G638" i="1" l="1"/>
  <c r="I639" i="1"/>
  <c r="E637" i="1"/>
  <c r="G637" i="1"/>
  <c r="H637" i="1"/>
  <c r="K637" i="1"/>
  <c r="L637" i="1"/>
  <c r="J638" i="1" l="1"/>
  <c r="I638" i="1"/>
  <c r="E636" i="1"/>
  <c r="H636" i="1"/>
  <c r="K636" i="1"/>
  <c r="L636" i="1"/>
  <c r="J637" i="1" l="1"/>
  <c r="G636" i="1"/>
  <c r="I637" i="1"/>
  <c r="E635" i="1"/>
  <c r="G635" i="1" s="1"/>
  <c r="H635" i="1"/>
  <c r="K635" i="1"/>
  <c r="L635" i="1"/>
  <c r="J636" i="1" l="1"/>
  <c r="I636" i="1"/>
  <c r="E634" i="1"/>
  <c r="G634" i="1" s="1"/>
  <c r="H634" i="1"/>
  <c r="K634" i="1"/>
  <c r="L634" i="1"/>
  <c r="I635" i="1" l="1"/>
  <c r="J635" i="1"/>
  <c r="E633" i="1"/>
  <c r="J634" i="1" s="1"/>
  <c r="H633" i="1"/>
  <c r="K633" i="1"/>
  <c r="L633" i="1"/>
  <c r="G633" i="1" l="1"/>
  <c r="I634" i="1"/>
  <c r="E632" i="1"/>
  <c r="G632" i="1" s="1"/>
  <c r="H632" i="1"/>
  <c r="K632" i="1"/>
  <c r="L632" i="1"/>
  <c r="I633" i="1" l="1"/>
  <c r="J633" i="1"/>
  <c r="E631" i="1"/>
  <c r="J632" i="1" s="1"/>
  <c r="H631" i="1"/>
  <c r="K631" i="1"/>
  <c r="L631" i="1"/>
  <c r="I632" i="1" l="1"/>
  <c r="G631" i="1"/>
  <c r="E630" i="1"/>
  <c r="I631" i="1" s="1"/>
  <c r="H630" i="1"/>
  <c r="K630" i="1"/>
  <c r="L630" i="1"/>
  <c r="J631" i="1" l="1"/>
  <c r="G630" i="1"/>
  <c r="E629" i="1"/>
  <c r="J630" i="1" s="1"/>
  <c r="H629" i="1"/>
  <c r="K629" i="1"/>
  <c r="L629" i="1"/>
  <c r="I630" i="1" l="1"/>
  <c r="G629" i="1"/>
  <c r="E628" i="1"/>
  <c r="H628" i="1"/>
  <c r="K628" i="1"/>
  <c r="L628" i="1"/>
  <c r="J629" i="1" l="1"/>
  <c r="G628" i="1"/>
  <c r="I629" i="1"/>
  <c r="E627" i="1"/>
  <c r="G627" i="1" s="1"/>
  <c r="H627" i="1"/>
  <c r="K627" i="1"/>
  <c r="L627" i="1"/>
  <c r="J628" i="1" l="1"/>
  <c r="I628" i="1"/>
  <c r="E626" i="1"/>
  <c r="G626" i="1" s="1"/>
  <c r="H626" i="1"/>
  <c r="K626" i="1"/>
  <c r="L626" i="1"/>
  <c r="I627" i="1" l="1"/>
  <c r="J627" i="1"/>
  <c r="E625" i="1"/>
  <c r="G625" i="1" s="1"/>
  <c r="H625" i="1"/>
  <c r="K625" i="1"/>
  <c r="L625" i="1"/>
  <c r="I626" i="1" l="1"/>
  <c r="J626" i="1"/>
  <c r="E624" i="1"/>
  <c r="H624" i="1"/>
  <c r="K624" i="1"/>
  <c r="L624" i="1"/>
  <c r="G624" i="1" l="1"/>
  <c r="J625" i="1"/>
  <c r="I625" i="1"/>
  <c r="E623" i="1"/>
  <c r="G623" i="1" s="1"/>
  <c r="H623" i="1"/>
  <c r="K623" i="1"/>
  <c r="L623" i="1"/>
  <c r="I624" i="1" l="1"/>
  <c r="J624" i="1"/>
  <c r="E622" i="1"/>
  <c r="J623" i="1" s="1"/>
  <c r="H622" i="1"/>
  <c r="K622" i="1"/>
  <c r="L622" i="1"/>
  <c r="I623" i="1" l="1"/>
  <c r="G622" i="1"/>
  <c r="E621" i="1"/>
  <c r="G621" i="1" s="1"/>
  <c r="H621" i="1"/>
  <c r="K621" i="1"/>
  <c r="L621" i="1"/>
  <c r="J622" i="1" l="1"/>
  <c r="I622" i="1"/>
  <c r="E620" i="1"/>
  <c r="H620" i="1"/>
  <c r="K620" i="1"/>
  <c r="L620" i="1"/>
  <c r="I621" i="1" l="1"/>
  <c r="J621" i="1"/>
  <c r="G620" i="1"/>
  <c r="E619" i="1"/>
  <c r="H619" i="1"/>
  <c r="K619" i="1"/>
  <c r="L619" i="1"/>
  <c r="J620" i="1" l="1"/>
  <c r="I620" i="1"/>
  <c r="G619" i="1"/>
  <c r="E618" i="1"/>
  <c r="H618" i="1"/>
  <c r="K618" i="1"/>
  <c r="L618" i="1"/>
  <c r="G618" i="1" l="1"/>
  <c r="J619" i="1"/>
  <c r="I619" i="1"/>
  <c r="E617" i="1"/>
  <c r="H617" i="1"/>
  <c r="K617" i="1"/>
  <c r="L617" i="1"/>
  <c r="G617" i="1" l="1"/>
  <c r="I618" i="1"/>
  <c r="J618" i="1"/>
  <c r="E616" i="1"/>
  <c r="G616" i="1" s="1"/>
  <c r="H616" i="1"/>
  <c r="K616" i="1"/>
  <c r="L616" i="1"/>
  <c r="J617" i="1" l="1"/>
  <c r="I617" i="1"/>
  <c r="E615" i="1"/>
  <c r="H615" i="1"/>
  <c r="K615" i="1"/>
  <c r="L615" i="1"/>
  <c r="I616" i="1" l="1"/>
  <c r="J616" i="1"/>
  <c r="G615" i="1"/>
  <c r="E614" i="1"/>
  <c r="J615" i="1" s="1"/>
  <c r="H614" i="1"/>
  <c r="K614" i="1"/>
  <c r="L614" i="1"/>
  <c r="I615" i="1" l="1"/>
  <c r="G614" i="1"/>
  <c r="E613" i="1"/>
  <c r="G613" i="1" s="1"/>
  <c r="H613" i="1"/>
  <c r="K613" i="1"/>
  <c r="L613" i="1"/>
  <c r="J614" i="1" l="1"/>
  <c r="I614" i="1"/>
  <c r="E612" i="1"/>
  <c r="G612" i="1" s="1"/>
  <c r="H612" i="1"/>
  <c r="K612" i="1"/>
  <c r="L612" i="1"/>
  <c r="J613" i="1" l="1"/>
  <c r="I613" i="1"/>
  <c r="E611" i="1"/>
  <c r="J612" i="1" s="1"/>
  <c r="H611" i="1"/>
  <c r="K611" i="1"/>
  <c r="L611" i="1"/>
  <c r="I612" i="1" l="1"/>
  <c r="G611" i="1"/>
  <c r="E610" i="1"/>
  <c r="G610" i="1" s="1"/>
  <c r="H610" i="1"/>
  <c r="K610" i="1"/>
  <c r="L610" i="1"/>
  <c r="J611" i="1" l="1"/>
  <c r="I611" i="1"/>
  <c r="E609" i="1" l="1"/>
  <c r="H609" i="1"/>
  <c r="K609" i="1"/>
  <c r="L609" i="1"/>
  <c r="G609" i="1" l="1"/>
  <c r="J610" i="1"/>
  <c r="I610" i="1"/>
  <c r="E608" i="1"/>
  <c r="I609" i="1" s="1"/>
  <c r="H608" i="1"/>
  <c r="K608" i="1"/>
  <c r="L608" i="1"/>
  <c r="G608" i="1" l="1"/>
  <c r="J609" i="1"/>
  <c r="E607" i="1"/>
  <c r="G607" i="1" s="1"/>
  <c r="H607" i="1"/>
  <c r="K607" i="1"/>
  <c r="L607" i="1"/>
  <c r="I608" i="1" l="1"/>
  <c r="J608" i="1"/>
  <c r="E606" i="1"/>
  <c r="H606" i="1"/>
  <c r="K606" i="1"/>
  <c r="L606" i="1"/>
  <c r="G606" i="1" l="1"/>
  <c r="J607" i="1"/>
  <c r="I607" i="1"/>
  <c r="E605" i="1"/>
  <c r="I606" i="1" s="1"/>
  <c r="H605" i="1"/>
  <c r="K605" i="1"/>
  <c r="L605" i="1"/>
  <c r="J606" i="1" l="1"/>
  <c r="G605" i="1"/>
  <c r="E604" i="1"/>
  <c r="H604" i="1"/>
  <c r="K604" i="1"/>
  <c r="L604" i="1"/>
  <c r="J605" i="1" l="1"/>
  <c r="G604" i="1"/>
  <c r="I605" i="1"/>
  <c r="E603" i="1"/>
  <c r="J604" i="1" s="1"/>
  <c r="H603" i="1"/>
  <c r="K603" i="1"/>
  <c r="L603" i="1"/>
  <c r="G603" i="1" l="1"/>
  <c r="I604" i="1"/>
  <c r="E602" i="1"/>
  <c r="H602" i="1"/>
  <c r="K602" i="1"/>
  <c r="L602" i="1"/>
  <c r="J603" i="1" l="1"/>
  <c r="G602" i="1"/>
  <c r="I603" i="1"/>
  <c r="E601" i="1"/>
  <c r="G601" i="1" s="1"/>
  <c r="H601" i="1"/>
  <c r="K601" i="1"/>
  <c r="L601" i="1"/>
  <c r="J602" i="1" l="1"/>
  <c r="I602" i="1"/>
  <c r="E600" i="1"/>
  <c r="G600" i="1" s="1"/>
  <c r="H600" i="1"/>
  <c r="K600" i="1"/>
  <c r="L600" i="1"/>
  <c r="J601" i="1" l="1"/>
  <c r="I601" i="1"/>
  <c r="E599" i="1"/>
  <c r="G599" i="1" s="1"/>
  <c r="H599" i="1"/>
  <c r="K599" i="1"/>
  <c r="L599" i="1"/>
  <c r="I600" i="1" l="1"/>
  <c r="J600" i="1"/>
  <c r="E598" i="1"/>
  <c r="G598" i="1" s="1"/>
  <c r="H598" i="1"/>
  <c r="K598" i="1"/>
  <c r="L598" i="1"/>
  <c r="J599" i="1" l="1"/>
  <c r="I599" i="1"/>
  <c r="E597" i="1"/>
  <c r="G597" i="1" s="1"/>
  <c r="H597" i="1"/>
  <c r="K597" i="1"/>
  <c r="L597" i="1"/>
  <c r="J598" i="1" l="1"/>
  <c r="I598" i="1"/>
  <c r="E596" i="1"/>
  <c r="G596" i="1" s="1"/>
  <c r="H596" i="1"/>
  <c r="K596" i="1"/>
  <c r="L596" i="1"/>
  <c r="J597" i="1" l="1"/>
  <c r="I597" i="1"/>
  <c r="E595" i="1"/>
  <c r="G595" i="1" s="1"/>
  <c r="H595" i="1"/>
  <c r="K595" i="1"/>
  <c r="L595" i="1"/>
  <c r="J596" i="1" l="1"/>
  <c r="I596" i="1"/>
  <c r="E594" i="1"/>
  <c r="J595" i="1" s="1"/>
  <c r="G594" i="1"/>
  <c r="H594" i="1"/>
  <c r="K594" i="1"/>
  <c r="L594" i="1"/>
  <c r="I595" i="1" l="1"/>
  <c r="E593" i="1"/>
  <c r="J594" i="1" s="1"/>
  <c r="H593" i="1"/>
  <c r="K593" i="1"/>
  <c r="L593" i="1"/>
  <c r="G593" i="1" l="1"/>
  <c r="I594" i="1"/>
  <c r="E592" i="1"/>
  <c r="G592" i="1" s="1"/>
  <c r="H592" i="1"/>
  <c r="K592" i="1"/>
  <c r="L592" i="1"/>
  <c r="I593" i="1" l="1"/>
  <c r="J593" i="1"/>
  <c r="E591" i="1"/>
  <c r="J592" i="1" s="1"/>
  <c r="H591" i="1"/>
  <c r="K591" i="1"/>
  <c r="L591" i="1"/>
  <c r="I592" i="1" l="1"/>
  <c r="G591" i="1"/>
  <c r="E590" i="1"/>
  <c r="G590" i="1" s="1"/>
  <c r="H590" i="1"/>
  <c r="K590" i="1"/>
  <c r="L590" i="1"/>
  <c r="J591" i="1" l="1"/>
  <c r="I591" i="1"/>
  <c r="E589" i="1"/>
  <c r="G589" i="1" s="1"/>
  <c r="H589" i="1"/>
  <c r="K589" i="1"/>
  <c r="L589" i="1"/>
  <c r="I590" i="1" l="1"/>
  <c r="J590" i="1"/>
  <c r="E588" i="1"/>
  <c r="H588" i="1"/>
  <c r="K588" i="1"/>
  <c r="L588" i="1"/>
  <c r="I589" i="1" l="1"/>
  <c r="J589" i="1"/>
  <c r="G588" i="1"/>
  <c r="E587" i="1"/>
  <c r="G587" i="1" s="1"/>
  <c r="H587" i="1"/>
  <c r="K587" i="1"/>
  <c r="L587" i="1"/>
  <c r="J588" i="1" l="1"/>
  <c r="I588" i="1"/>
  <c r="E586" i="1"/>
  <c r="G586" i="1" s="1"/>
  <c r="H586" i="1"/>
  <c r="K586" i="1"/>
  <c r="L586" i="1"/>
  <c r="J587" i="1" l="1"/>
  <c r="I587" i="1"/>
  <c r="H585" i="1"/>
  <c r="E585" i="1"/>
  <c r="I586" i="1" s="1"/>
  <c r="K585" i="1"/>
  <c r="L585" i="1"/>
  <c r="G585" i="1" l="1"/>
  <c r="J586" i="1"/>
  <c r="E584" i="1"/>
  <c r="H584" i="1"/>
  <c r="K584" i="1"/>
  <c r="L584" i="1"/>
  <c r="J585" i="1" l="1"/>
  <c r="I585" i="1"/>
  <c r="G584" i="1"/>
  <c r="E583" i="1"/>
  <c r="G583" i="1" s="1"/>
  <c r="H583" i="1"/>
  <c r="K583" i="1"/>
  <c r="L583" i="1"/>
  <c r="J584" i="1" l="1"/>
  <c r="I584" i="1"/>
  <c r="E582" i="1"/>
  <c r="G582" i="1" s="1"/>
  <c r="H582" i="1"/>
  <c r="K582" i="1"/>
  <c r="L582" i="1"/>
  <c r="J583" i="1" l="1"/>
  <c r="I583" i="1"/>
  <c r="E581" i="1"/>
  <c r="H581" i="1"/>
  <c r="K581" i="1"/>
  <c r="L581" i="1"/>
  <c r="J582" i="1" l="1"/>
  <c r="G581" i="1"/>
  <c r="I582" i="1"/>
  <c r="E580" i="1"/>
  <c r="G580" i="1" s="1"/>
  <c r="H580" i="1"/>
  <c r="K580" i="1"/>
  <c r="L580" i="1"/>
  <c r="J581" i="1" l="1"/>
  <c r="I581" i="1"/>
  <c r="E579" i="1"/>
  <c r="G579" i="1" s="1"/>
  <c r="H579" i="1"/>
  <c r="K579" i="1"/>
  <c r="L579" i="1"/>
  <c r="J580" i="1" l="1"/>
  <c r="I580" i="1"/>
  <c r="H578" i="1"/>
  <c r="E578" i="1"/>
  <c r="J579" i="1" s="1"/>
  <c r="K578" i="1"/>
  <c r="L578" i="1"/>
  <c r="G578" i="1" l="1"/>
  <c r="I579" i="1"/>
  <c r="E577" i="1"/>
  <c r="J578" i="1" s="1"/>
  <c r="H577" i="1"/>
  <c r="K577" i="1"/>
  <c r="L577" i="1"/>
  <c r="I578" i="1" l="1"/>
  <c r="G577" i="1"/>
  <c r="B3" i="4"/>
  <c r="C3" i="4"/>
  <c r="D3" i="4"/>
  <c r="F3" i="4"/>
  <c r="K3" i="4"/>
  <c r="L3" i="4"/>
  <c r="B4" i="4"/>
  <c r="C4" i="4"/>
  <c r="D4" i="4"/>
  <c r="F4" i="4"/>
  <c r="K4" i="4"/>
  <c r="L4" i="4"/>
  <c r="B5" i="4"/>
  <c r="C5" i="4"/>
  <c r="D5" i="4"/>
  <c r="F5" i="4"/>
  <c r="K5" i="4"/>
  <c r="L5" i="4"/>
  <c r="B6" i="4"/>
  <c r="C6" i="4"/>
  <c r="D6" i="4"/>
  <c r="F6" i="4"/>
  <c r="K6" i="4"/>
  <c r="L6" i="4"/>
  <c r="B7" i="4"/>
  <c r="C7" i="4"/>
  <c r="D7" i="4"/>
  <c r="F7" i="4"/>
  <c r="K7" i="4"/>
  <c r="L7" i="4"/>
  <c r="B8" i="4"/>
  <c r="C8" i="4"/>
  <c r="D8" i="4"/>
  <c r="F8" i="4"/>
  <c r="K8" i="4"/>
  <c r="L8" i="4"/>
  <c r="B9" i="4"/>
  <c r="C9" i="4"/>
  <c r="D9" i="4"/>
  <c r="F9" i="4"/>
  <c r="K9" i="4"/>
  <c r="L9" i="4"/>
  <c r="B10" i="4"/>
  <c r="C10" i="4"/>
  <c r="D10" i="4"/>
  <c r="F10" i="4"/>
  <c r="K10" i="4"/>
  <c r="L10" i="4"/>
  <c r="B11" i="4"/>
  <c r="C11" i="4"/>
  <c r="D11" i="4"/>
  <c r="F11" i="4"/>
  <c r="K11" i="4"/>
  <c r="L11" i="4"/>
  <c r="B12" i="4"/>
  <c r="C12" i="4"/>
  <c r="D12" i="4"/>
  <c r="F12" i="4"/>
  <c r="K12" i="4"/>
  <c r="L12" i="4"/>
  <c r="B13" i="4"/>
  <c r="C13" i="4"/>
  <c r="D13" i="4"/>
  <c r="F13" i="4"/>
  <c r="K13" i="4"/>
  <c r="L13" i="4"/>
  <c r="B14" i="4"/>
  <c r="C14" i="4"/>
  <c r="D14" i="4"/>
  <c r="F14" i="4"/>
  <c r="K14" i="4"/>
  <c r="L14" i="4"/>
  <c r="B15" i="4"/>
  <c r="C15" i="4"/>
  <c r="D15" i="4"/>
  <c r="F15" i="4"/>
  <c r="K15" i="4"/>
  <c r="L15" i="4"/>
  <c r="B16" i="4"/>
  <c r="C16" i="4"/>
  <c r="D16" i="4"/>
  <c r="F16" i="4"/>
  <c r="K16" i="4"/>
  <c r="L16" i="4"/>
  <c r="B17" i="4"/>
  <c r="C17" i="4"/>
  <c r="D17" i="4"/>
  <c r="F17" i="4"/>
  <c r="K17" i="4"/>
  <c r="L17" i="4"/>
  <c r="B18" i="4"/>
  <c r="C18" i="4"/>
  <c r="D18" i="4"/>
  <c r="F18" i="4"/>
  <c r="K18" i="4"/>
  <c r="L18" i="4"/>
  <c r="B19" i="4"/>
  <c r="C19" i="4"/>
  <c r="D19" i="4"/>
  <c r="F19" i="4"/>
  <c r="K19" i="4"/>
  <c r="L19" i="4"/>
  <c r="B20" i="4"/>
  <c r="C20" i="4"/>
  <c r="D20" i="4"/>
  <c r="F20" i="4"/>
  <c r="K20" i="4"/>
  <c r="L20" i="4"/>
  <c r="B21" i="4"/>
  <c r="C21" i="4"/>
  <c r="D21" i="4"/>
  <c r="F21" i="4"/>
  <c r="K21" i="4"/>
  <c r="L21" i="4"/>
  <c r="B22" i="4"/>
  <c r="C22" i="4"/>
  <c r="D22" i="4"/>
  <c r="F22" i="4"/>
  <c r="K22" i="4"/>
  <c r="L22" i="4"/>
  <c r="B23" i="4"/>
  <c r="C23" i="4"/>
  <c r="D23" i="4"/>
  <c r="F23" i="4"/>
  <c r="K23" i="4"/>
  <c r="L23" i="4"/>
  <c r="B24" i="4"/>
  <c r="C24" i="4"/>
  <c r="D24" i="4"/>
  <c r="F24" i="4"/>
  <c r="K24" i="4"/>
  <c r="L24" i="4"/>
  <c r="B25" i="4"/>
  <c r="C25" i="4"/>
  <c r="D25" i="4"/>
  <c r="F25" i="4"/>
  <c r="K25" i="4"/>
  <c r="L25" i="4"/>
  <c r="B26" i="4"/>
  <c r="C26" i="4"/>
  <c r="D26" i="4"/>
  <c r="F26" i="4"/>
  <c r="K26" i="4"/>
  <c r="L26" i="4"/>
  <c r="B27" i="4"/>
  <c r="C27" i="4"/>
  <c r="D27" i="4"/>
  <c r="F27" i="4"/>
  <c r="K27" i="4"/>
  <c r="L27" i="4"/>
  <c r="B28" i="4"/>
  <c r="C28" i="4"/>
  <c r="D28" i="4"/>
  <c r="F28" i="4"/>
  <c r="K28" i="4"/>
  <c r="L28" i="4"/>
  <c r="B29" i="4"/>
  <c r="C29" i="4"/>
  <c r="D29" i="4"/>
  <c r="F29" i="4"/>
  <c r="K29" i="4"/>
  <c r="L29" i="4"/>
  <c r="B30" i="4"/>
  <c r="C30" i="4"/>
  <c r="D30" i="4"/>
  <c r="F30" i="4"/>
  <c r="K30" i="4"/>
  <c r="L30" i="4"/>
  <c r="B31" i="4"/>
  <c r="C31" i="4"/>
  <c r="D31" i="4"/>
  <c r="F31" i="4"/>
  <c r="K31" i="4"/>
  <c r="L31" i="4"/>
  <c r="B32" i="4"/>
  <c r="C32" i="4"/>
  <c r="D32" i="4"/>
  <c r="F32" i="4"/>
  <c r="K32" i="4"/>
  <c r="L32" i="4"/>
  <c r="B33" i="4"/>
  <c r="C33" i="4"/>
  <c r="D33" i="4"/>
  <c r="F33" i="4"/>
  <c r="K33" i="4"/>
  <c r="L33" i="4"/>
  <c r="B34" i="4"/>
  <c r="C34" i="4"/>
  <c r="D34" i="4"/>
  <c r="F34" i="4"/>
  <c r="K34" i="4"/>
  <c r="L34" i="4"/>
  <c r="F35" i="4"/>
  <c r="K35" i="4"/>
  <c r="L35" i="4"/>
  <c r="F36" i="4"/>
  <c r="K36" i="4"/>
  <c r="L36" i="4"/>
  <c r="D37" i="4"/>
  <c r="F37" i="4"/>
  <c r="K37" i="4"/>
  <c r="L37" i="4"/>
  <c r="F38" i="4"/>
  <c r="K38" i="4"/>
  <c r="L38" i="4"/>
  <c r="B39" i="4"/>
  <c r="C39" i="4"/>
  <c r="D39" i="4"/>
  <c r="F39" i="4"/>
  <c r="K39" i="4"/>
  <c r="L39" i="4"/>
  <c r="B40" i="4"/>
  <c r="C40" i="4"/>
  <c r="D40" i="4"/>
  <c r="F40" i="4"/>
  <c r="K40" i="4"/>
  <c r="L40" i="4"/>
  <c r="B41" i="4"/>
  <c r="C41" i="4"/>
  <c r="D41" i="4"/>
  <c r="F41" i="4"/>
  <c r="K41" i="4"/>
  <c r="L41" i="4"/>
  <c r="B42" i="4"/>
  <c r="C42" i="4"/>
  <c r="D42" i="4"/>
  <c r="F42" i="4"/>
  <c r="K42" i="4"/>
  <c r="L42" i="4"/>
  <c r="F43" i="4"/>
  <c r="K43" i="4"/>
  <c r="L43" i="4"/>
  <c r="F44" i="4"/>
  <c r="K44" i="4"/>
  <c r="L44" i="4"/>
  <c r="F45" i="4"/>
  <c r="K45" i="4"/>
  <c r="L45" i="4"/>
  <c r="F46" i="4"/>
  <c r="K46" i="4"/>
  <c r="L46" i="4"/>
  <c r="F47" i="4"/>
  <c r="K47" i="4"/>
  <c r="L47" i="4"/>
  <c r="F48" i="4"/>
  <c r="K48" i="4"/>
  <c r="L48" i="4"/>
  <c r="F49" i="4"/>
  <c r="K49" i="4"/>
  <c r="L49" i="4"/>
  <c r="F50" i="4"/>
  <c r="K50" i="4"/>
  <c r="L50" i="4"/>
  <c r="F51" i="4"/>
  <c r="K51" i="4"/>
  <c r="L51" i="4"/>
  <c r="F52" i="4"/>
  <c r="K52" i="4"/>
  <c r="L52" i="4"/>
  <c r="F53" i="4"/>
  <c r="K53" i="4"/>
  <c r="L53" i="4"/>
  <c r="F54" i="4"/>
  <c r="L54" i="4"/>
  <c r="F55" i="4"/>
  <c r="L55" i="4"/>
  <c r="F56" i="4"/>
  <c r="L56" i="4"/>
  <c r="F57" i="4"/>
  <c r="L57" i="4"/>
  <c r="F58" i="4"/>
  <c r="L58" i="4"/>
  <c r="F59" i="4"/>
  <c r="L59" i="4"/>
  <c r="F60" i="4"/>
  <c r="L60" i="4"/>
  <c r="F61" i="4"/>
  <c r="L61" i="4"/>
  <c r="F62" i="4"/>
  <c r="L62" i="4"/>
  <c r="F63" i="4"/>
  <c r="L63" i="4"/>
  <c r="F64" i="4"/>
  <c r="L64" i="4"/>
  <c r="F65" i="4"/>
  <c r="L65" i="4"/>
  <c r="F66" i="4"/>
  <c r="L66" i="4"/>
  <c r="F67" i="4"/>
  <c r="L67" i="4"/>
  <c r="F68" i="4"/>
  <c r="L68" i="4"/>
  <c r="F69" i="4"/>
  <c r="L69" i="4"/>
  <c r="F70" i="4"/>
  <c r="L70" i="4"/>
  <c r="F71" i="4"/>
  <c r="L71" i="4"/>
  <c r="F72" i="4"/>
  <c r="L72" i="4"/>
  <c r="B73" i="4"/>
  <c r="F73" i="4"/>
  <c r="L73" i="4"/>
  <c r="F74" i="4"/>
  <c r="L74" i="4"/>
  <c r="F75" i="4"/>
  <c r="L75" i="4"/>
  <c r="F76" i="4"/>
  <c r="L76" i="4"/>
  <c r="F77" i="4"/>
  <c r="L77" i="4"/>
  <c r="F78" i="4"/>
  <c r="L78" i="4"/>
  <c r="F79" i="4"/>
  <c r="L79" i="4"/>
  <c r="F80" i="4"/>
  <c r="L80" i="4"/>
  <c r="F81" i="4"/>
  <c r="L81" i="4"/>
  <c r="F82" i="4"/>
  <c r="L82" i="4"/>
  <c r="F83" i="4"/>
  <c r="L83" i="4"/>
  <c r="L84" i="4"/>
  <c r="F85" i="4"/>
  <c r="L85" i="4"/>
  <c r="F86" i="4"/>
  <c r="L86" i="4"/>
  <c r="F87" i="4"/>
  <c r="L87" i="4"/>
  <c r="F88" i="4"/>
  <c r="L88" i="4"/>
  <c r="F89" i="4"/>
  <c r="L89" i="4"/>
  <c r="F90" i="4"/>
  <c r="L90" i="4"/>
  <c r="F91" i="4"/>
  <c r="L91" i="4"/>
  <c r="F92" i="4"/>
  <c r="L92" i="4"/>
  <c r="F93" i="4"/>
  <c r="L93" i="4"/>
  <c r="F94" i="4"/>
  <c r="L94" i="4"/>
  <c r="F95" i="4"/>
  <c r="L95" i="4"/>
  <c r="F96" i="4"/>
  <c r="L96" i="4"/>
  <c r="F97" i="4"/>
  <c r="L97" i="4"/>
  <c r="B98" i="4"/>
  <c r="C98" i="4"/>
  <c r="D98" i="4"/>
  <c r="F98" i="4"/>
  <c r="L98" i="4"/>
  <c r="F99" i="4"/>
  <c r="L99" i="4"/>
  <c r="F100" i="4"/>
  <c r="L100" i="4"/>
  <c r="F101" i="4"/>
  <c r="L101" i="4"/>
  <c r="F102" i="4"/>
  <c r="L102" i="4"/>
  <c r="F103" i="4"/>
  <c r="L103" i="4"/>
  <c r="F104" i="4"/>
  <c r="L104" i="4"/>
  <c r="F105" i="4"/>
  <c r="L105" i="4"/>
  <c r="F106" i="4"/>
  <c r="L106" i="4"/>
  <c r="F107" i="4"/>
  <c r="L107" i="4"/>
  <c r="F108" i="4"/>
  <c r="L108" i="4"/>
  <c r="F109" i="4"/>
  <c r="L109" i="4"/>
  <c r="F110" i="4"/>
  <c r="L110" i="4"/>
  <c r="F111" i="4"/>
  <c r="L111" i="4"/>
  <c r="F112" i="4"/>
  <c r="L112" i="4"/>
  <c r="F113" i="4"/>
  <c r="L113" i="4"/>
  <c r="F114" i="4"/>
  <c r="L114" i="4"/>
  <c r="F115" i="4"/>
  <c r="L115" i="4"/>
  <c r="F116" i="4"/>
  <c r="L116" i="4"/>
  <c r="F117" i="4"/>
  <c r="L117" i="4"/>
  <c r="F118" i="4"/>
  <c r="L118" i="4"/>
  <c r="F119" i="4"/>
  <c r="L119" i="4"/>
  <c r="F120" i="4"/>
  <c r="L120" i="4"/>
  <c r="B121" i="4"/>
  <c r="C121" i="4"/>
  <c r="D121" i="4"/>
  <c r="F121" i="4"/>
  <c r="L121" i="4"/>
  <c r="F122" i="4"/>
  <c r="L122" i="4"/>
  <c r="F123" i="4"/>
  <c r="L123" i="4"/>
  <c r="F124" i="4"/>
  <c r="L124" i="4"/>
  <c r="F125" i="4"/>
  <c r="L125" i="4"/>
  <c r="F126" i="4"/>
  <c r="L126" i="4"/>
  <c r="F127" i="4"/>
  <c r="L127" i="4"/>
  <c r="F128" i="4"/>
  <c r="L128" i="4"/>
  <c r="F129" i="4"/>
  <c r="L129" i="4"/>
  <c r="F130" i="4"/>
  <c r="L130" i="4"/>
  <c r="F131" i="4"/>
  <c r="L131" i="4"/>
  <c r="F132" i="4"/>
  <c r="L132" i="4"/>
  <c r="F133" i="4"/>
  <c r="L133" i="4"/>
  <c r="F134" i="4"/>
  <c r="L134" i="4"/>
  <c r="F135" i="4"/>
  <c r="L135" i="4"/>
  <c r="F136" i="4"/>
  <c r="L136" i="4"/>
  <c r="F137" i="4"/>
  <c r="L137" i="4"/>
  <c r="F138" i="4"/>
  <c r="L138" i="4"/>
  <c r="F139" i="4"/>
  <c r="L139" i="4"/>
  <c r="F140" i="4"/>
  <c r="L140" i="4"/>
  <c r="F141" i="4"/>
  <c r="L141" i="4"/>
  <c r="F142" i="4"/>
  <c r="L142" i="4"/>
  <c r="F143" i="4"/>
  <c r="L143" i="4"/>
  <c r="F144" i="4"/>
  <c r="L144" i="4"/>
  <c r="F145" i="4"/>
  <c r="L145" i="4"/>
  <c r="F146" i="4"/>
  <c r="L146" i="4"/>
  <c r="F147" i="4"/>
  <c r="L147" i="4"/>
  <c r="F148" i="4"/>
  <c r="L148" i="4"/>
  <c r="F149" i="4"/>
  <c r="L149" i="4"/>
  <c r="F150" i="4"/>
  <c r="L150" i="4"/>
  <c r="F151" i="4"/>
  <c r="L151" i="4"/>
  <c r="F152" i="4"/>
  <c r="L152" i="4"/>
  <c r="F153" i="4"/>
  <c r="L153" i="4"/>
  <c r="F154" i="4"/>
  <c r="L154" i="4"/>
  <c r="F155" i="4"/>
  <c r="L155" i="4"/>
  <c r="F156" i="4"/>
  <c r="L156" i="4"/>
  <c r="F157" i="4"/>
  <c r="L157" i="4"/>
  <c r="F158" i="4"/>
  <c r="L158" i="4"/>
  <c r="F159" i="4"/>
  <c r="L159" i="4"/>
  <c r="F160" i="4"/>
  <c r="L160" i="4"/>
  <c r="F161" i="4"/>
  <c r="L161" i="4"/>
  <c r="F162" i="4"/>
  <c r="L162" i="4"/>
  <c r="F163" i="4"/>
  <c r="L163" i="4"/>
  <c r="F164" i="4"/>
  <c r="L164" i="4"/>
  <c r="F165" i="4"/>
  <c r="L165" i="4"/>
  <c r="F166" i="4"/>
  <c r="L166" i="4"/>
  <c r="F167" i="4"/>
  <c r="L167" i="4"/>
  <c r="F168" i="4"/>
  <c r="L168" i="4"/>
  <c r="F169" i="4"/>
  <c r="L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B257" i="4"/>
  <c r="C257" i="4"/>
  <c r="D257" i="4"/>
  <c r="F257" i="4"/>
  <c r="F258" i="4"/>
  <c r="F259" i="4"/>
  <c r="F260" i="4"/>
  <c r="F261" i="4"/>
  <c r="F262" i="4"/>
  <c r="F263" i="4"/>
  <c r="F264" i="4"/>
  <c r="F265" i="4"/>
  <c r="F266" i="4"/>
  <c r="F267" i="4"/>
  <c r="F268" i="4"/>
  <c r="F269" i="4"/>
  <c r="F270" i="4"/>
  <c r="F271" i="4"/>
  <c r="F272" i="4"/>
  <c r="F273" i="4"/>
  <c r="F274" i="4"/>
  <c r="F275" i="4"/>
  <c r="B276" i="4"/>
  <c r="C276" i="4"/>
  <c r="D276"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B337" i="4"/>
  <c r="C337" i="4"/>
  <c r="D337" i="4"/>
  <c r="F337" i="4"/>
  <c r="B338" i="4"/>
  <c r="C338" i="4"/>
  <c r="D338" i="4"/>
  <c r="F338" i="4"/>
  <c r="B339" i="4"/>
  <c r="C339" i="4"/>
  <c r="D339" i="4"/>
  <c r="F339" i="4"/>
  <c r="B340" i="4"/>
  <c r="C340" i="4"/>
  <c r="D340" i="4"/>
  <c r="F340" i="4"/>
  <c r="F341" i="4"/>
  <c r="F342" i="4"/>
  <c r="D343" i="4"/>
  <c r="F343" i="4"/>
  <c r="D344" i="4"/>
  <c r="F344" i="4"/>
  <c r="B345" i="4"/>
  <c r="C345" i="4"/>
  <c r="D345" i="4"/>
  <c r="F345" i="4"/>
  <c r="B346" i="4"/>
  <c r="C346" i="4"/>
  <c r="D346" i="4"/>
  <c r="F346" i="4"/>
  <c r="B347" i="4"/>
  <c r="C347" i="4"/>
  <c r="D347" i="4"/>
  <c r="F347" i="4"/>
  <c r="B348" i="4"/>
  <c r="C348" i="4"/>
  <c r="D348" i="4"/>
  <c r="F348" i="4"/>
  <c r="B349" i="4"/>
  <c r="C349" i="4"/>
  <c r="D349" i="4"/>
  <c r="F349" i="4"/>
  <c r="F350" i="4"/>
  <c r="F351" i="4"/>
  <c r="F352" i="4"/>
  <c r="F353" i="4"/>
  <c r="F354" i="4"/>
  <c r="B355" i="4"/>
  <c r="C355" i="4"/>
  <c r="D355" i="4"/>
  <c r="F355" i="4"/>
  <c r="F356" i="4"/>
  <c r="F357" i="4"/>
  <c r="F358" i="4"/>
  <c r="F359" i="4"/>
  <c r="F360" i="4"/>
  <c r="F361" i="4"/>
  <c r="F362" i="4"/>
  <c r="F363" i="4"/>
  <c r="F364" i="4"/>
  <c r="B365" i="4"/>
  <c r="C365" i="4"/>
  <c r="D365" i="4"/>
  <c r="F365" i="4"/>
  <c r="F366" i="4"/>
  <c r="F367" i="4"/>
  <c r="F368" i="4"/>
  <c r="F369" i="4"/>
  <c r="F370" i="4"/>
  <c r="F371" i="4"/>
  <c r="F372" i="4"/>
  <c r="F373" i="4"/>
  <c r="F374" i="4"/>
  <c r="F375" i="4"/>
  <c r="F376" i="4"/>
  <c r="F377" i="4"/>
  <c r="F378" i="4"/>
  <c r="A379" i="4"/>
  <c r="B379" i="4"/>
  <c r="C379" i="4"/>
  <c r="D379" i="4"/>
  <c r="E379" i="4"/>
  <c r="F379" i="4"/>
  <c r="B380" i="4"/>
  <c r="C380" i="4"/>
  <c r="D380" i="4"/>
  <c r="E380" i="4"/>
  <c r="F380" i="4"/>
  <c r="B381" i="4"/>
  <c r="C381" i="4"/>
  <c r="D381" i="4"/>
  <c r="E381" i="4"/>
  <c r="F381" i="4"/>
  <c r="F382" i="4"/>
  <c r="F383" i="4"/>
  <c r="F384" i="4"/>
  <c r="F385" i="4"/>
  <c r="F386" i="4"/>
  <c r="B387" i="4"/>
  <c r="C387" i="4"/>
  <c r="D387" i="4"/>
  <c r="F387" i="4"/>
  <c r="F388" i="4"/>
  <c r="F389" i="4"/>
  <c r="F390" i="4"/>
  <c r="F391" i="4"/>
  <c r="F392" i="4"/>
  <c r="F393" i="4"/>
  <c r="F394" i="4"/>
  <c r="B395" i="4"/>
  <c r="C395" i="4"/>
  <c r="D395" i="4"/>
  <c r="F395" i="4"/>
  <c r="F396" i="4"/>
  <c r="F397" i="4"/>
  <c r="C398" i="4"/>
  <c r="F398" i="4"/>
  <c r="F399" i="4"/>
  <c r="F400" i="4"/>
  <c r="F401" i="4"/>
  <c r="F402" i="4"/>
  <c r="C403" i="4"/>
  <c r="D403" i="4"/>
  <c r="F403" i="4"/>
  <c r="F404" i="4"/>
  <c r="C405" i="4"/>
  <c r="F405" i="4"/>
  <c r="F406" i="4"/>
  <c r="F407" i="4"/>
  <c r="C408" i="4"/>
  <c r="F408" i="4"/>
  <c r="F409" i="4"/>
  <c r="C410" i="4"/>
  <c r="F410" i="4"/>
  <c r="F411" i="4"/>
  <c r="F412" i="4"/>
  <c r="F413" i="4"/>
  <c r="F414" i="4"/>
  <c r="F415" i="4"/>
  <c r="F416" i="4"/>
  <c r="F417" i="4"/>
  <c r="F418" i="4"/>
  <c r="F419" i="4"/>
  <c r="F420" i="4"/>
  <c r="F421" i="4"/>
  <c r="F422" i="4"/>
  <c r="F423" i="4"/>
  <c r="F424" i="4"/>
  <c r="F425" i="4"/>
  <c r="F426" i="4"/>
  <c r="B427" i="4"/>
  <c r="C427" i="4"/>
  <c r="D427" i="4"/>
  <c r="F427" i="4"/>
  <c r="B428" i="4"/>
  <c r="C428" i="4"/>
  <c r="D428"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C459" i="4"/>
  <c r="F459" i="4"/>
  <c r="F460" i="4"/>
  <c r="F461" i="4"/>
  <c r="F462" i="4"/>
  <c r="F463" i="4"/>
  <c r="F464" i="4"/>
  <c r="F465" i="4"/>
  <c r="F466" i="4"/>
  <c r="F467" i="4"/>
  <c r="F468" i="4"/>
  <c r="F469" i="4"/>
  <c r="B470" i="4"/>
  <c r="C470" i="4"/>
  <c r="D470" i="4"/>
  <c r="F470" i="4"/>
  <c r="F471" i="4"/>
  <c r="F472" i="4"/>
  <c r="F473" i="4"/>
  <c r="F474" i="4"/>
  <c r="F475" i="4"/>
  <c r="F476" i="4"/>
  <c r="F477" i="4"/>
  <c r="F478" i="4"/>
  <c r="F479" i="4"/>
  <c r="F480" i="4"/>
  <c r="F481" i="4"/>
  <c r="F482" i="4"/>
  <c r="F483" i="4"/>
  <c r="F484" i="4"/>
  <c r="B485" i="4"/>
  <c r="C485" i="4"/>
  <c r="D485" i="4"/>
  <c r="F485" i="4"/>
  <c r="B486" i="4"/>
  <c r="C486" i="4"/>
  <c r="D486" i="4"/>
  <c r="F486" i="4"/>
  <c r="B487" i="4"/>
  <c r="C487" i="4"/>
  <c r="D487" i="4"/>
  <c r="F487" i="4"/>
  <c r="B488" i="4"/>
  <c r="C488" i="4"/>
  <c r="D488" i="4"/>
  <c r="F488" i="4"/>
  <c r="B489" i="4"/>
  <c r="C489" i="4"/>
  <c r="D489" i="4"/>
  <c r="F489" i="4"/>
  <c r="B490" i="4"/>
  <c r="C490" i="4"/>
  <c r="D490" i="4"/>
  <c r="F490" i="4"/>
  <c r="B491" i="4"/>
  <c r="C491" i="4"/>
  <c r="D491" i="4"/>
  <c r="F491" i="4"/>
  <c r="B492" i="4"/>
  <c r="C492" i="4"/>
  <c r="D492" i="4"/>
  <c r="F492" i="4"/>
  <c r="B493" i="4"/>
  <c r="C493" i="4"/>
  <c r="D493" i="4"/>
  <c r="F493" i="4"/>
  <c r="B494" i="4"/>
  <c r="C494" i="4"/>
  <c r="D494" i="4"/>
  <c r="F494" i="4"/>
  <c r="B495" i="4"/>
  <c r="C495" i="4"/>
  <c r="D495" i="4"/>
  <c r="F495" i="4"/>
  <c r="B496" i="4"/>
  <c r="C496" i="4"/>
  <c r="D496" i="4"/>
  <c r="F496" i="4"/>
  <c r="B497" i="4"/>
  <c r="C497" i="4"/>
  <c r="D497" i="4"/>
  <c r="F497" i="4"/>
  <c r="B498" i="4"/>
  <c r="C498" i="4"/>
  <c r="D498" i="4"/>
  <c r="F498" i="4"/>
  <c r="B499" i="4"/>
  <c r="C499" i="4"/>
  <c r="D499" i="4"/>
  <c r="F499" i="4"/>
  <c r="B500" i="4"/>
  <c r="C500" i="4"/>
  <c r="D500" i="4"/>
  <c r="F500" i="4"/>
  <c r="B501" i="4"/>
  <c r="C501" i="4"/>
  <c r="D501" i="4"/>
  <c r="F501" i="4"/>
  <c r="B502" i="4"/>
  <c r="C502" i="4"/>
  <c r="D502" i="4"/>
  <c r="F502" i="4"/>
  <c r="B503" i="4"/>
  <c r="C503" i="4"/>
  <c r="D503" i="4"/>
  <c r="F503" i="4"/>
  <c r="B504" i="4"/>
  <c r="C504" i="4"/>
  <c r="D504" i="4"/>
  <c r="F504" i="4"/>
  <c r="B505" i="4"/>
  <c r="C505" i="4"/>
  <c r="D505" i="4"/>
  <c r="F505" i="4"/>
  <c r="B506" i="4"/>
  <c r="C506" i="4"/>
  <c r="D506" i="4"/>
  <c r="F506" i="4"/>
  <c r="B507" i="4"/>
  <c r="C507" i="4"/>
  <c r="D507" i="4"/>
  <c r="F507" i="4"/>
  <c r="B508" i="4"/>
  <c r="C508" i="4"/>
  <c r="D508" i="4"/>
  <c r="F508" i="4"/>
  <c r="B509" i="4"/>
  <c r="C509" i="4"/>
  <c r="D509" i="4"/>
  <c r="F509" i="4"/>
  <c r="B510" i="4"/>
  <c r="C510" i="4"/>
  <c r="D510" i="4"/>
  <c r="F510" i="4"/>
  <c r="B511" i="4"/>
  <c r="C511" i="4"/>
  <c r="D511" i="4"/>
  <c r="F511" i="4"/>
  <c r="B512" i="4"/>
  <c r="C512" i="4"/>
  <c r="D512" i="4"/>
  <c r="F512" i="4"/>
  <c r="B513" i="4"/>
  <c r="C513" i="4"/>
  <c r="D513" i="4"/>
  <c r="F513" i="4"/>
  <c r="F514" i="4"/>
  <c r="B515" i="4"/>
  <c r="C515" i="4"/>
  <c r="D515" i="4"/>
  <c r="F515" i="4"/>
  <c r="B516" i="4"/>
  <c r="C516" i="4"/>
  <c r="D516" i="4"/>
  <c r="F516" i="4"/>
  <c r="B517" i="4"/>
  <c r="C517" i="4"/>
  <c r="D517" i="4"/>
  <c r="F517" i="4"/>
  <c r="B518" i="4"/>
  <c r="C518" i="4"/>
  <c r="D518" i="4"/>
  <c r="F518" i="4"/>
  <c r="B519" i="4"/>
  <c r="C519" i="4"/>
  <c r="D519" i="4"/>
  <c r="F519" i="4"/>
  <c r="B520" i="4"/>
  <c r="C520" i="4"/>
  <c r="D520" i="4"/>
  <c r="F520" i="4"/>
  <c r="B521" i="4"/>
  <c r="C521" i="4"/>
  <c r="D521" i="4"/>
  <c r="F521" i="4"/>
  <c r="B522" i="4"/>
  <c r="C522" i="4"/>
  <c r="D522" i="4"/>
  <c r="F522" i="4"/>
  <c r="B523" i="4"/>
  <c r="C523" i="4"/>
  <c r="D523" i="4"/>
  <c r="F523" i="4"/>
  <c r="B524" i="4"/>
  <c r="C524" i="4"/>
  <c r="D524" i="4"/>
  <c r="F524" i="4"/>
  <c r="B525" i="4"/>
  <c r="C525" i="4"/>
  <c r="D525" i="4"/>
  <c r="F525" i="4"/>
  <c r="B526" i="4"/>
  <c r="C526" i="4"/>
  <c r="D526" i="4"/>
  <c r="F526" i="4"/>
  <c r="B527" i="4"/>
  <c r="C527" i="4"/>
  <c r="D527" i="4"/>
  <c r="F527" i="4"/>
  <c r="B528" i="4"/>
  <c r="C528" i="4"/>
  <c r="D528" i="4"/>
  <c r="F528" i="4"/>
  <c r="B529" i="4"/>
  <c r="C529" i="4"/>
  <c r="D529" i="4"/>
  <c r="F529" i="4"/>
  <c r="B530" i="4"/>
  <c r="C530" i="4"/>
  <c r="D530" i="4"/>
  <c r="F530" i="4"/>
  <c r="B531" i="4"/>
  <c r="C531" i="4"/>
  <c r="D531" i="4"/>
  <c r="F531" i="4"/>
  <c r="B532" i="4"/>
  <c r="C532" i="4"/>
  <c r="D532" i="4"/>
  <c r="F532" i="4"/>
  <c r="B533" i="4"/>
  <c r="C533" i="4"/>
  <c r="D533" i="4"/>
  <c r="F533" i="4"/>
  <c r="B534" i="4"/>
  <c r="C534" i="4"/>
  <c r="D534" i="4"/>
  <c r="F534" i="4"/>
  <c r="B535" i="4"/>
  <c r="C535" i="4"/>
  <c r="D535" i="4"/>
  <c r="F535" i="4"/>
  <c r="B536" i="4"/>
  <c r="C536" i="4"/>
  <c r="D536" i="4"/>
  <c r="F536" i="4"/>
  <c r="B537" i="4"/>
  <c r="C537" i="4"/>
  <c r="D537" i="4"/>
  <c r="F537" i="4"/>
  <c r="B538" i="4"/>
  <c r="C538" i="4"/>
  <c r="D538" i="4"/>
  <c r="F538" i="4"/>
  <c r="B539" i="4"/>
  <c r="C539" i="4"/>
  <c r="D539" i="4"/>
  <c r="F539" i="4"/>
  <c r="B540" i="4"/>
  <c r="C540" i="4"/>
  <c r="D540" i="4"/>
  <c r="F540" i="4"/>
  <c r="B541" i="4"/>
  <c r="C541" i="4"/>
  <c r="D541" i="4"/>
  <c r="F541" i="4"/>
  <c r="B542" i="4"/>
  <c r="C542" i="4"/>
  <c r="D542" i="4"/>
  <c r="F542" i="4"/>
  <c r="B543" i="4"/>
  <c r="C543" i="4"/>
  <c r="D543" i="4"/>
  <c r="F543" i="4"/>
  <c r="B544" i="4"/>
  <c r="C544" i="4"/>
  <c r="D544" i="4"/>
  <c r="F544" i="4"/>
  <c r="B545" i="4"/>
  <c r="C545" i="4"/>
  <c r="D545" i="4"/>
  <c r="F545" i="4"/>
  <c r="B546" i="4"/>
  <c r="C546" i="4"/>
  <c r="D546" i="4"/>
  <c r="F546" i="4"/>
  <c r="B547" i="4"/>
  <c r="C547" i="4"/>
  <c r="D547" i="4"/>
  <c r="F547" i="4"/>
  <c r="B548" i="4"/>
  <c r="C548" i="4"/>
  <c r="D548" i="4"/>
  <c r="F548" i="4"/>
  <c r="B549" i="4"/>
  <c r="C549" i="4"/>
  <c r="D549" i="4"/>
  <c r="F549" i="4"/>
  <c r="B550" i="4"/>
  <c r="C550" i="4"/>
  <c r="D550" i="4"/>
  <c r="F550" i="4"/>
  <c r="B551" i="4"/>
  <c r="C551" i="4"/>
  <c r="D551" i="4"/>
  <c r="F551" i="4"/>
  <c r="B552" i="4"/>
  <c r="C552" i="4"/>
  <c r="D552" i="4"/>
  <c r="F552" i="4"/>
  <c r="B553" i="4"/>
  <c r="C553" i="4"/>
  <c r="D553" i="4"/>
  <c r="F553" i="4"/>
  <c r="B554" i="4"/>
  <c r="C554" i="4"/>
  <c r="D554" i="4"/>
  <c r="F554" i="4"/>
  <c r="B555" i="4"/>
  <c r="C555" i="4"/>
  <c r="D555" i="4"/>
  <c r="F555" i="4"/>
  <c r="B556" i="4"/>
  <c r="C556" i="4"/>
  <c r="D556" i="4"/>
  <c r="F556" i="4"/>
  <c r="B557" i="4"/>
  <c r="C557" i="4"/>
  <c r="D557" i="4"/>
  <c r="F557" i="4"/>
  <c r="B558" i="4"/>
  <c r="C558" i="4"/>
  <c r="D558" i="4"/>
  <c r="F558" i="4"/>
  <c r="B559" i="4"/>
  <c r="C559" i="4"/>
  <c r="D559" i="4"/>
  <c r="F559" i="4"/>
  <c r="B560" i="4"/>
  <c r="C560" i="4"/>
  <c r="D560" i="4"/>
  <c r="F560" i="4"/>
  <c r="B561" i="4"/>
  <c r="C561" i="4"/>
  <c r="D561" i="4"/>
  <c r="F561" i="4"/>
  <c r="B562" i="4"/>
  <c r="C562" i="4"/>
  <c r="D562" i="4"/>
  <c r="F562" i="4"/>
  <c r="B563" i="4"/>
  <c r="C563" i="4"/>
  <c r="D563" i="4"/>
  <c r="F563" i="4"/>
  <c r="B564" i="4"/>
  <c r="C564" i="4"/>
  <c r="D564" i="4"/>
  <c r="F564" i="4"/>
  <c r="B565" i="4"/>
  <c r="C565" i="4"/>
  <c r="D565" i="4"/>
  <c r="F565" i="4"/>
  <c r="B566" i="4"/>
  <c r="C566" i="4"/>
  <c r="D566" i="4"/>
  <c r="F566" i="4"/>
  <c r="B567" i="4"/>
  <c r="C567" i="4"/>
  <c r="D567" i="4"/>
  <c r="F567" i="4"/>
  <c r="B568" i="4"/>
  <c r="C568" i="4"/>
  <c r="D568" i="4"/>
  <c r="F568" i="4"/>
  <c r="B569" i="4"/>
  <c r="C569" i="4"/>
  <c r="D569" i="4"/>
  <c r="F569" i="4"/>
  <c r="B570" i="4"/>
  <c r="C570" i="4"/>
  <c r="D570" i="4"/>
  <c r="F570" i="4"/>
  <c r="B571" i="4"/>
  <c r="C571" i="4"/>
  <c r="D571" i="4"/>
  <c r="F571" i="4"/>
  <c r="B572" i="4"/>
  <c r="C572" i="4"/>
  <c r="D572" i="4"/>
  <c r="E572" i="4"/>
  <c r="F572" i="4"/>
  <c r="G572" i="4"/>
  <c r="H572" i="4"/>
  <c r="K572" i="4"/>
  <c r="L572" i="4"/>
  <c r="B573" i="4"/>
  <c r="C573" i="4"/>
  <c r="D573" i="4"/>
  <c r="E573" i="4"/>
  <c r="F573" i="4"/>
  <c r="G573" i="4"/>
  <c r="H573" i="4"/>
  <c r="I573" i="4"/>
  <c r="J573" i="4"/>
  <c r="K573" i="4"/>
  <c r="L573" i="4"/>
  <c r="B574" i="4"/>
  <c r="C574" i="4"/>
  <c r="D574" i="4"/>
  <c r="E574" i="4"/>
  <c r="F574" i="4"/>
  <c r="G574" i="4"/>
  <c r="H574" i="4"/>
  <c r="I574" i="4"/>
  <c r="J574" i="4"/>
  <c r="K574" i="4"/>
  <c r="L574" i="4"/>
  <c r="B575" i="4"/>
  <c r="C575" i="4"/>
  <c r="D575" i="4"/>
  <c r="E575" i="4"/>
  <c r="F575" i="4"/>
  <c r="G575" i="4"/>
  <c r="H575" i="4"/>
  <c r="I575" i="4"/>
  <c r="J575" i="4"/>
  <c r="K575" i="4"/>
  <c r="L575" i="4"/>
  <c r="B576" i="4"/>
  <c r="C576" i="4"/>
  <c r="D576" i="4"/>
  <c r="E576" i="4"/>
  <c r="F576" i="4"/>
  <c r="G576" i="4"/>
  <c r="H576" i="4"/>
  <c r="I576" i="4"/>
  <c r="J576" i="4"/>
  <c r="K576" i="4"/>
  <c r="L576" i="4"/>
  <c r="B577" i="4"/>
  <c r="C577" i="4"/>
  <c r="D577" i="4"/>
  <c r="E577" i="4"/>
  <c r="F577" i="4"/>
  <c r="G577" i="4"/>
  <c r="H577" i="4"/>
  <c r="I577" i="4"/>
  <c r="J577" i="4"/>
  <c r="K577" i="4"/>
  <c r="L577" i="4"/>
  <c r="B578" i="4"/>
  <c r="C578" i="4"/>
  <c r="D578" i="4"/>
  <c r="E578" i="4"/>
  <c r="F578" i="4"/>
  <c r="G578" i="4"/>
  <c r="H578" i="4"/>
  <c r="I578" i="4"/>
  <c r="J578" i="4"/>
  <c r="K578" i="4"/>
  <c r="L578" i="4"/>
  <c r="B579" i="4"/>
  <c r="C579" i="4"/>
  <c r="D579" i="4"/>
  <c r="E579" i="4"/>
  <c r="F579" i="4"/>
  <c r="G579" i="4"/>
  <c r="H579" i="4"/>
  <c r="I579" i="4"/>
  <c r="J579" i="4"/>
  <c r="K579" i="4"/>
  <c r="L579" i="4"/>
  <c r="B580" i="4"/>
  <c r="C580" i="4"/>
  <c r="D580" i="4"/>
  <c r="E580" i="4"/>
  <c r="F580" i="4"/>
  <c r="G580" i="4"/>
  <c r="H580" i="4"/>
  <c r="I580" i="4"/>
  <c r="J580" i="4"/>
  <c r="K580" i="4"/>
  <c r="L580" i="4"/>
  <c r="B581" i="4"/>
  <c r="C581" i="4"/>
  <c r="D581" i="4"/>
  <c r="E581" i="4"/>
  <c r="F581" i="4"/>
  <c r="G581" i="4"/>
  <c r="H581" i="4"/>
  <c r="I581" i="4"/>
  <c r="J581" i="4"/>
  <c r="K581" i="4"/>
  <c r="L581" i="4"/>
  <c r="B582" i="4"/>
  <c r="C582" i="4"/>
  <c r="D582" i="4"/>
  <c r="E582" i="4"/>
  <c r="F582" i="4"/>
  <c r="G582" i="4"/>
  <c r="H582" i="4"/>
  <c r="I582" i="4"/>
  <c r="J582" i="4"/>
  <c r="K582" i="4"/>
  <c r="L582" i="4"/>
  <c r="B583" i="4"/>
  <c r="C583" i="4"/>
  <c r="D583" i="4"/>
  <c r="E583" i="4"/>
  <c r="F583" i="4"/>
  <c r="G583" i="4"/>
  <c r="H583" i="4"/>
  <c r="I583" i="4"/>
  <c r="J583" i="4"/>
  <c r="K583" i="4"/>
  <c r="L583" i="4"/>
  <c r="B584" i="4"/>
  <c r="C584" i="4"/>
  <c r="D584" i="4"/>
  <c r="E584" i="4"/>
  <c r="F584" i="4"/>
  <c r="G584" i="4"/>
  <c r="H584" i="4"/>
  <c r="I584" i="4"/>
  <c r="J584" i="4"/>
  <c r="K584" i="4"/>
  <c r="L584" i="4"/>
  <c r="B585" i="4"/>
  <c r="C585" i="4"/>
  <c r="D585" i="4"/>
  <c r="E585" i="4"/>
  <c r="F585" i="4"/>
  <c r="G585" i="4"/>
  <c r="H585" i="4"/>
  <c r="I585" i="4"/>
  <c r="J585" i="4"/>
  <c r="K585" i="4"/>
  <c r="L585" i="4"/>
  <c r="B586" i="4"/>
  <c r="C586" i="4"/>
  <c r="D586" i="4"/>
  <c r="E586" i="4"/>
  <c r="F586" i="4"/>
  <c r="G586" i="4"/>
  <c r="H586" i="4"/>
  <c r="I586" i="4"/>
  <c r="J586" i="4"/>
  <c r="K586" i="4"/>
  <c r="L586" i="4"/>
  <c r="B587" i="4"/>
  <c r="C587" i="4"/>
  <c r="D587" i="4"/>
  <c r="E587" i="4"/>
  <c r="F587" i="4"/>
  <c r="G587" i="4"/>
  <c r="H587" i="4"/>
  <c r="I587" i="4"/>
  <c r="J587" i="4"/>
  <c r="K587" i="4"/>
  <c r="L587" i="4"/>
  <c r="B588" i="4"/>
  <c r="C588" i="4"/>
  <c r="D588" i="4"/>
  <c r="E588" i="4"/>
  <c r="F588" i="4"/>
  <c r="G588" i="4"/>
  <c r="H588" i="4"/>
  <c r="I588" i="4"/>
  <c r="J588" i="4"/>
  <c r="K588" i="4"/>
  <c r="L588" i="4"/>
  <c r="B589" i="4"/>
  <c r="C589" i="4"/>
  <c r="D589" i="4"/>
  <c r="E589" i="4"/>
  <c r="F589" i="4"/>
  <c r="G589" i="4"/>
  <c r="H589" i="4"/>
  <c r="I589" i="4"/>
  <c r="J589" i="4"/>
  <c r="K589" i="4"/>
  <c r="L589" i="4"/>
  <c r="B590" i="4"/>
  <c r="C590" i="4"/>
  <c r="D590" i="4"/>
  <c r="E590" i="4"/>
  <c r="F590" i="4"/>
  <c r="G590" i="4"/>
  <c r="H590" i="4"/>
  <c r="I590" i="4"/>
  <c r="J590" i="4"/>
  <c r="K590" i="4"/>
  <c r="L590" i="4"/>
  <c r="B591" i="4"/>
  <c r="C591" i="4"/>
  <c r="D591" i="4"/>
  <c r="E591" i="4"/>
  <c r="F591" i="4"/>
  <c r="G591" i="4"/>
  <c r="H591" i="4"/>
  <c r="I591" i="4"/>
  <c r="J591" i="4"/>
  <c r="K591" i="4"/>
  <c r="L591" i="4"/>
  <c r="B592" i="4"/>
  <c r="C592" i="4"/>
  <c r="D592" i="4"/>
  <c r="E592" i="4"/>
  <c r="F592" i="4"/>
  <c r="G592" i="4"/>
  <c r="H592" i="4"/>
  <c r="I592" i="4"/>
  <c r="J592" i="4"/>
  <c r="K592" i="4"/>
  <c r="L592" i="4"/>
  <c r="B593" i="4"/>
  <c r="C593" i="4"/>
  <c r="D593" i="4"/>
  <c r="E593" i="4"/>
  <c r="F593" i="4"/>
  <c r="G593" i="4"/>
  <c r="H593" i="4"/>
  <c r="I593" i="4"/>
  <c r="J593" i="4"/>
  <c r="K593" i="4"/>
  <c r="L593" i="4"/>
  <c r="B594" i="4"/>
  <c r="C594" i="4"/>
  <c r="D594" i="4"/>
  <c r="E594" i="4"/>
  <c r="F594" i="4"/>
  <c r="G594" i="4"/>
  <c r="H594" i="4"/>
  <c r="I594" i="4"/>
  <c r="J594" i="4"/>
  <c r="K594" i="4"/>
  <c r="L594" i="4"/>
  <c r="B595" i="4"/>
  <c r="C595" i="4"/>
  <c r="D595" i="4"/>
  <c r="E595" i="4"/>
  <c r="F595" i="4"/>
  <c r="G595" i="4"/>
  <c r="H595" i="4"/>
  <c r="I595" i="4"/>
  <c r="J595" i="4"/>
  <c r="K595" i="4"/>
  <c r="L595" i="4"/>
  <c r="B596" i="4"/>
  <c r="C596" i="4"/>
  <c r="D596" i="4"/>
  <c r="E596" i="4"/>
  <c r="F596" i="4"/>
  <c r="G596" i="4"/>
  <c r="H596" i="4"/>
  <c r="I596" i="4"/>
  <c r="J596" i="4"/>
  <c r="K596" i="4"/>
  <c r="L596" i="4"/>
  <c r="B597" i="4"/>
  <c r="C597" i="4"/>
  <c r="D597" i="4"/>
  <c r="E597" i="4"/>
  <c r="F597" i="4"/>
  <c r="G597" i="4"/>
  <c r="H597" i="4"/>
  <c r="I597" i="4"/>
  <c r="J597" i="4"/>
  <c r="K597" i="4"/>
  <c r="L597" i="4"/>
  <c r="B598" i="4"/>
  <c r="C598" i="4"/>
  <c r="D598" i="4"/>
  <c r="E598" i="4"/>
  <c r="F598" i="4"/>
  <c r="G598" i="4"/>
  <c r="H598" i="4"/>
  <c r="I598" i="4"/>
  <c r="J598" i="4"/>
  <c r="K598" i="4"/>
  <c r="L598" i="4"/>
  <c r="B599" i="4"/>
  <c r="C599" i="4"/>
  <c r="D599" i="4"/>
  <c r="E599" i="4"/>
  <c r="F599" i="4"/>
  <c r="G599" i="4"/>
  <c r="H599" i="4"/>
  <c r="I599" i="4"/>
  <c r="J599" i="4"/>
  <c r="K599" i="4"/>
  <c r="L599" i="4"/>
  <c r="B600" i="4"/>
  <c r="C600" i="4"/>
  <c r="D600" i="4"/>
  <c r="E600" i="4"/>
  <c r="F600" i="4"/>
  <c r="G600" i="4"/>
  <c r="H600" i="4"/>
  <c r="I600" i="4"/>
  <c r="J600" i="4"/>
  <c r="K600" i="4"/>
  <c r="L600" i="4"/>
  <c r="B601" i="4"/>
  <c r="C601" i="4"/>
  <c r="D601" i="4"/>
  <c r="E601" i="4"/>
  <c r="F601" i="4"/>
  <c r="G601" i="4"/>
  <c r="H601" i="4"/>
  <c r="I601" i="4"/>
  <c r="J601" i="4"/>
  <c r="K601" i="4"/>
  <c r="L601" i="4"/>
  <c r="B602" i="4"/>
  <c r="C602" i="4"/>
  <c r="D602" i="4"/>
  <c r="E602" i="4"/>
  <c r="F602" i="4"/>
  <c r="G602" i="4"/>
  <c r="H602" i="4"/>
  <c r="I602" i="4"/>
  <c r="J602" i="4"/>
  <c r="K602" i="4"/>
  <c r="L602" i="4"/>
  <c r="B603" i="4"/>
  <c r="C603" i="4"/>
  <c r="D603" i="4"/>
  <c r="E603" i="4"/>
  <c r="F603" i="4"/>
  <c r="G603" i="4"/>
  <c r="H603" i="4"/>
  <c r="I603" i="4"/>
  <c r="J603" i="4"/>
  <c r="K603" i="4"/>
  <c r="L603" i="4"/>
  <c r="B604" i="4"/>
  <c r="C604" i="4"/>
  <c r="D604" i="4"/>
  <c r="E604" i="4"/>
  <c r="F604" i="4"/>
  <c r="G604" i="4"/>
  <c r="H604" i="4"/>
  <c r="I604" i="4"/>
  <c r="J604" i="4"/>
  <c r="K604" i="4"/>
  <c r="L604" i="4"/>
  <c r="B605" i="4"/>
  <c r="C605" i="4"/>
  <c r="D605" i="4"/>
  <c r="E605" i="4"/>
  <c r="F605" i="4"/>
  <c r="G605" i="4"/>
  <c r="H605" i="4"/>
  <c r="I605" i="4"/>
  <c r="J605" i="4"/>
  <c r="K605" i="4"/>
  <c r="L605" i="4"/>
  <c r="B606" i="4"/>
  <c r="C606" i="4"/>
  <c r="D606" i="4"/>
  <c r="E606" i="4"/>
  <c r="F606" i="4"/>
  <c r="G606" i="4"/>
  <c r="H606" i="4"/>
  <c r="I606" i="4"/>
  <c r="J606" i="4"/>
  <c r="K606" i="4"/>
  <c r="L606" i="4"/>
  <c r="B607" i="4"/>
  <c r="C607" i="4"/>
  <c r="D607" i="4"/>
  <c r="E607" i="4"/>
  <c r="F607" i="4"/>
  <c r="G607" i="4"/>
  <c r="H607" i="4"/>
  <c r="I607" i="4"/>
  <c r="J607" i="4"/>
  <c r="K607" i="4"/>
  <c r="L607" i="4"/>
  <c r="B608" i="4"/>
  <c r="C608" i="4"/>
  <c r="D608" i="4"/>
  <c r="E608" i="4"/>
  <c r="F608" i="4"/>
  <c r="G608" i="4"/>
  <c r="H608" i="4"/>
  <c r="I608" i="4"/>
  <c r="J608" i="4"/>
  <c r="K608" i="4"/>
  <c r="L608" i="4"/>
  <c r="B609" i="4"/>
  <c r="C609" i="4"/>
  <c r="D609" i="4"/>
  <c r="E609" i="4"/>
  <c r="F609" i="4"/>
  <c r="G609" i="4"/>
  <c r="H609" i="4"/>
  <c r="I609" i="4"/>
  <c r="J609" i="4"/>
  <c r="K609" i="4"/>
  <c r="L609" i="4"/>
  <c r="B610" i="4"/>
  <c r="C610" i="4"/>
  <c r="D610" i="4"/>
  <c r="E610" i="4"/>
  <c r="F610" i="4"/>
  <c r="G610" i="4"/>
  <c r="H610" i="4"/>
  <c r="I610" i="4"/>
  <c r="J610" i="4"/>
  <c r="K610" i="4"/>
  <c r="L610" i="4"/>
  <c r="B611" i="4"/>
  <c r="C611" i="4"/>
  <c r="D611" i="4"/>
  <c r="E611" i="4"/>
  <c r="F611" i="4"/>
  <c r="G611" i="4"/>
  <c r="H611" i="4"/>
  <c r="I611" i="4"/>
  <c r="J611" i="4"/>
  <c r="K611" i="4"/>
  <c r="L611" i="4"/>
  <c r="B612" i="4"/>
  <c r="C612" i="4"/>
  <c r="D612" i="4"/>
  <c r="E612" i="4"/>
  <c r="F612" i="4"/>
  <c r="G612" i="4"/>
  <c r="H612" i="4"/>
  <c r="I612" i="4"/>
  <c r="J612" i="4"/>
  <c r="K612" i="4"/>
  <c r="L612" i="4"/>
  <c r="B613" i="4"/>
  <c r="C613" i="4"/>
  <c r="D613" i="4"/>
  <c r="E613" i="4"/>
  <c r="F613" i="4"/>
  <c r="G613" i="4"/>
  <c r="H613" i="4"/>
  <c r="I613" i="4"/>
  <c r="J613" i="4"/>
  <c r="K613" i="4"/>
  <c r="L613" i="4"/>
  <c r="B614" i="4"/>
  <c r="C614" i="4"/>
  <c r="D614" i="4"/>
  <c r="E614" i="4"/>
  <c r="F614" i="4"/>
  <c r="G614" i="4"/>
  <c r="H614" i="4"/>
  <c r="I614" i="4"/>
  <c r="J614" i="4"/>
  <c r="K614" i="4"/>
  <c r="L614" i="4"/>
  <c r="B615" i="4"/>
  <c r="C615" i="4"/>
  <c r="D615" i="4"/>
  <c r="E615" i="4"/>
  <c r="F615" i="4"/>
  <c r="G615" i="4"/>
  <c r="H615" i="4"/>
  <c r="I615" i="4"/>
  <c r="J615" i="4"/>
  <c r="K615" i="4"/>
  <c r="L615" i="4"/>
  <c r="B616" i="4"/>
  <c r="C616" i="4"/>
  <c r="D616" i="4"/>
  <c r="E616" i="4"/>
  <c r="F616" i="4"/>
  <c r="G616" i="4"/>
  <c r="H616" i="4"/>
  <c r="I616" i="4"/>
  <c r="J616" i="4"/>
  <c r="K616" i="4"/>
  <c r="L616" i="4"/>
  <c r="B617" i="4"/>
  <c r="C617" i="4"/>
  <c r="D617" i="4"/>
  <c r="E617" i="4"/>
  <c r="F617" i="4"/>
  <c r="G617" i="4"/>
  <c r="H617" i="4"/>
  <c r="I617" i="4"/>
  <c r="J617" i="4"/>
  <c r="K617" i="4"/>
  <c r="L617" i="4"/>
  <c r="B618" i="4"/>
  <c r="C618" i="4"/>
  <c r="D618" i="4"/>
  <c r="E618" i="4"/>
  <c r="F618" i="4"/>
  <c r="G618" i="4"/>
  <c r="H618" i="4"/>
  <c r="I618" i="4"/>
  <c r="J618" i="4"/>
  <c r="K618" i="4"/>
  <c r="L618" i="4"/>
  <c r="B619" i="4"/>
  <c r="C619" i="4"/>
  <c r="D619" i="4"/>
  <c r="E619" i="4"/>
  <c r="F619" i="4"/>
  <c r="G619" i="4"/>
  <c r="H619" i="4"/>
  <c r="I619" i="4"/>
  <c r="J619" i="4"/>
  <c r="K619" i="4"/>
  <c r="L619" i="4"/>
  <c r="B620" i="4"/>
  <c r="C620" i="4"/>
  <c r="D620" i="4"/>
  <c r="E620" i="4"/>
  <c r="F620" i="4"/>
  <c r="G620" i="4"/>
  <c r="H620" i="4"/>
  <c r="I620" i="4"/>
  <c r="J620" i="4"/>
  <c r="K620" i="4"/>
  <c r="L620" i="4"/>
  <c r="B621" i="4"/>
  <c r="C621" i="4"/>
  <c r="D621" i="4"/>
  <c r="E621" i="4"/>
  <c r="F621" i="4"/>
  <c r="G621" i="4"/>
  <c r="H621" i="4"/>
  <c r="I621" i="4"/>
  <c r="J621" i="4"/>
  <c r="K621" i="4"/>
  <c r="L621" i="4"/>
  <c r="B622" i="4"/>
  <c r="C622" i="4"/>
  <c r="D622" i="4"/>
  <c r="E622" i="4"/>
  <c r="F622" i="4"/>
  <c r="G622" i="4"/>
  <c r="H622" i="4"/>
  <c r="I622" i="4"/>
  <c r="J622" i="4"/>
  <c r="K622" i="4"/>
  <c r="L622" i="4"/>
  <c r="B623" i="4"/>
  <c r="C623" i="4"/>
  <c r="D623" i="4"/>
  <c r="E623" i="4"/>
  <c r="F623" i="4"/>
  <c r="G623" i="4"/>
  <c r="H623" i="4"/>
  <c r="I623" i="4"/>
  <c r="J623" i="4"/>
  <c r="K623" i="4"/>
  <c r="L623" i="4"/>
  <c r="B624" i="4"/>
  <c r="C624" i="4"/>
  <c r="D624" i="4"/>
  <c r="E624" i="4"/>
  <c r="F624" i="4"/>
  <c r="G624" i="4"/>
  <c r="H624" i="4"/>
  <c r="I624" i="4"/>
  <c r="J624" i="4"/>
  <c r="K624" i="4"/>
  <c r="L624" i="4"/>
  <c r="B625" i="4"/>
  <c r="C625" i="4"/>
  <c r="D625" i="4"/>
  <c r="E625" i="4"/>
  <c r="F625" i="4"/>
  <c r="G625" i="4"/>
  <c r="H625" i="4"/>
  <c r="I625" i="4"/>
  <c r="J625" i="4"/>
  <c r="K625" i="4"/>
  <c r="L625" i="4"/>
  <c r="B626" i="4"/>
  <c r="C626" i="4"/>
  <c r="D626" i="4"/>
  <c r="E626" i="4"/>
  <c r="F626" i="4"/>
  <c r="G626" i="4"/>
  <c r="H626" i="4"/>
  <c r="I626" i="4"/>
  <c r="J626" i="4"/>
  <c r="K626" i="4"/>
  <c r="L626" i="4"/>
  <c r="B627" i="4"/>
  <c r="C627" i="4"/>
  <c r="D627" i="4"/>
  <c r="E627" i="4"/>
  <c r="F627" i="4"/>
  <c r="G627" i="4"/>
  <c r="H627" i="4"/>
  <c r="I627" i="4"/>
  <c r="J627" i="4"/>
  <c r="K627" i="4"/>
  <c r="L627" i="4"/>
  <c r="B628" i="4"/>
  <c r="C628" i="4"/>
  <c r="D628" i="4"/>
  <c r="E628" i="4"/>
  <c r="F628" i="4"/>
  <c r="G628" i="4"/>
  <c r="H628" i="4"/>
  <c r="I628" i="4"/>
  <c r="J628" i="4"/>
  <c r="K628" i="4"/>
  <c r="L628" i="4"/>
  <c r="B629" i="4"/>
  <c r="C629" i="4"/>
  <c r="D629" i="4"/>
  <c r="E629" i="4"/>
  <c r="F629" i="4"/>
  <c r="G629" i="4"/>
  <c r="H629" i="4"/>
  <c r="I629" i="4"/>
  <c r="J629" i="4"/>
  <c r="K629" i="4"/>
  <c r="L629" i="4"/>
  <c r="B630" i="4"/>
  <c r="C630" i="4"/>
  <c r="D630" i="4"/>
  <c r="E630" i="4"/>
  <c r="F630" i="4"/>
  <c r="G630" i="4"/>
  <c r="H630" i="4"/>
  <c r="I630" i="4"/>
  <c r="J630" i="4"/>
  <c r="K630" i="4"/>
  <c r="L630" i="4"/>
  <c r="B631" i="4"/>
  <c r="C631" i="4"/>
  <c r="D631" i="4"/>
  <c r="E631" i="4"/>
  <c r="F631" i="4"/>
  <c r="G631" i="4"/>
  <c r="H631" i="4"/>
  <c r="I631" i="4"/>
  <c r="J631" i="4"/>
  <c r="K631" i="4"/>
  <c r="L631" i="4"/>
  <c r="B632" i="4"/>
  <c r="C632" i="4"/>
  <c r="D632" i="4"/>
  <c r="E632" i="4"/>
  <c r="F632" i="4"/>
  <c r="G632" i="4"/>
  <c r="H632" i="4"/>
  <c r="I632" i="4"/>
  <c r="J632" i="4"/>
  <c r="K632" i="4"/>
  <c r="L632" i="4"/>
  <c r="B633" i="4"/>
  <c r="C633" i="4"/>
  <c r="D633" i="4"/>
  <c r="E633" i="4"/>
  <c r="F633" i="4"/>
  <c r="G633" i="4"/>
  <c r="H633" i="4"/>
  <c r="I633" i="4"/>
  <c r="J633" i="4"/>
  <c r="K633" i="4"/>
  <c r="L633" i="4"/>
  <c r="B634" i="4"/>
  <c r="C634" i="4"/>
  <c r="D634" i="4"/>
  <c r="E634" i="4"/>
  <c r="F634" i="4"/>
  <c r="G634" i="4"/>
  <c r="H634" i="4"/>
  <c r="I634" i="4"/>
  <c r="J634" i="4"/>
  <c r="K634" i="4"/>
  <c r="L634" i="4"/>
  <c r="B635" i="4"/>
  <c r="C635" i="4"/>
  <c r="D635" i="4"/>
  <c r="E635" i="4"/>
  <c r="F635" i="4"/>
  <c r="G635" i="4"/>
  <c r="H635" i="4"/>
  <c r="I635" i="4"/>
  <c r="J635" i="4"/>
  <c r="K635" i="4"/>
  <c r="L635" i="4"/>
  <c r="B636" i="4"/>
  <c r="C636" i="4"/>
  <c r="D636" i="4"/>
  <c r="E636" i="4"/>
  <c r="F636" i="4"/>
  <c r="G636" i="4"/>
  <c r="H636" i="4"/>
  <c r="I636" i="4"/>
  <c r="J636" i="4"/>
  <c r="K636" i="4"/>
  <c r="L636" i="4"/>
  <c r="B637" i="4"/>
  <c r="C637" i="4"/>
  <c r="D637" i="4"/>
  <c r="E637" i="4"/>
  <c r="F637" i="4"/>
  <c r="G637" i="4"/>
  <c r="H637" i="4"/>
  <c r="I637" i="4"/>
  <c r="J637" i="4"/>
  <c r="K637" i="4"/>
  <c r="L637" i="4"/>
  <c r="B638" i="4"/>
  <c r="C638" i="4"/>
  <c r="D638" i="4"/>
  <c r="E638" i="4"/>
  <c r="F638" i="4"/>
  <c r="G638" i="4"/>
  <c r="H638" i="4"/>
  <c r="I638" i="4"/>
  <c r="J638" i="4"/>
  <c r="K638" i="4"/>
  <c r="L638" i="4"/>
  <c r="B639" i="4"/>
  <c r="C639" i="4"/>
  <c r="D639" i="4"/>
  <c r="E639" i="4"/>
  <c r="F639" i="4"/>
  <c r="G639" i="4"/>
  <c r="H639" i="4"/>
  <c r="I639" i="4"/>
  <c r="J639" i="4"/>
  <c r="K639" i="4"/>
  <c r="L639" i="4"/>
  <c r="B640" i="4"/>
  <c r="C640" i="4"/>
  <c r="D640" i="4"/>
  <c r="E640" i="4"/>
  <c r="F640" i="4"/>
  <c r="G640" i="4"/>
  <c r="H640" i="4"/>
  <c r="I640" i="4"/>
  <c r="J640" i="4"/>
  <c r="K640" i="4"/>
  <c r="L640" i="4"/>
  <c r="B641" i="4"/>
  <c r="C641" i="4"/>
  <c r="D641" i="4"/>
  <c r="E641" i="4"/>
  <c r="F641" i="4"/>
  <c r="G641" i="4"/>
  <c r="H641" i="4"/>
  <c r="I641" i="4"/>
  <c r="J641" i="4"/>
  <c r="K641" i="4"/>
  <c r="L641" i="4"/>
  <c r="B642" i="4"/>
  <c r="C642" i="4"/>
  <c r="D642" i="4"/>
  <c r="E642" i="4"/>
  <c r="F642" i="4"/>
  <c r="G642" i="4"/>
  <c r="H642" i="4"/>
  <c r="I642" i="4"/>
  <c r="J642" i="4"/>
  <c r="K642" i="4"/>
  <c r="L642" i="4"/>
  <c r="B643" i="4"/>
  <c r="C643" i="4"/>
  <c r="D643" i="4"/>
  <c r="E643" i="4"/>
  <c r="F643" i="4"/>
  <c r="G643" i="4"/>
  <c r="H643" i="4"/>
  <c r="I643" i="4"/>
  <c r="J643" i="4"/>
  <c r="K643" i="4"/>
  <c r="L643" i="4"/>
  <c r="B644" i="4"/>
  <c r="C644" i="4"/>
  <c r="D644" i="4"/>
  <c r="E644" i="4"/>
  <c r="F644" i="4"/>
  <c r="G644" i="4"/>
  <c r="H644" i="4"/>
  <c r="I644" i="4"/>
  <c r="J644" i="4"/>
  <c r="K644" i="4"/>
  <c r="L644" i="4"/>
  <c r="B645" i="4"/>
  <c r="C645" i="4"/>
  <c r="D645" i="4"/>
  <c r="E645" i="4"/>
  <c r="F645" i="4"/>
  <c r="G645" i="4"/>
  <c r="H645" i="4"/>
  <c r="I645" i="4"/>
  <c r="J645" i="4"/>
  <c r="K645" i="4"/>
  <c r="L645" i="4"/>
  <c r="B646" i="4"/>
  <c r="C646" i="4"/>
  <c r="D646" i="4"/>
  <c r="E646" i="4"/>
  <c r="F646" i="4"/>
  <c r="G646" i="4"/>
  <c r="H646" i="4"/>
  <c r="I646" i="4"/>
  <c r="J646" i="4"/>
  <c r="K646" i="4"/>
  <c r="L646" i="4"/>
  <c r="B647" i="4"/>
  <c r="C647" i="4"/>
  <c r="D647" i="4"/>
  <c r="E647" i="4"/>
  <c r="F647" i="4"/>
  <c r="G647" i="4"/>
  <c r="H647" i="4"/>
  <c r="I647" i="4"/>
  <c r="J647" i="4"/>
  <c r="K647" i="4"/>
  <c r="L647" i="4"/>
  <c r="B648" i="4"/>
  <c r="C648" i="4"/>
  <c r="D648" i="4"/>
  <c r="E648" i="4"/>
  <c r="F648" i="4"/>
  <c r="G648" i="4"/>
  <c r="H648" i="4"/>
  <c r="I648" i="4"/>
  <c r="J648" i="4"/>
  <c r="K648" i="4"/>
  <c r="L648" i="4"/>
  <c r="B649" i="4"/>
  <c r="C649" i="4"/>
  <c r="D649" i="4"/>
  <c r="E649" i="4"/>
  <c r="F649" i="4"/>
  <c r="G649" i="4"/>
  <c r="H649" i="4"/>
  <c r="I649" i="4"/>
  <c r="J649" i="4"/>
  <c r="K649" i="4"/>
  <c r="L649" i="4"/>
  <c r="B650" i="4"/>
  <c r="C650" i="4"/>
  <c r="D650" i="4"/>
  <c r="E650" i="4"/>
  <c r="F650" i="4"/>
  <c r="G650" i="4"/>
  <c r="H650" i="4"/>
  <c r="I650" i="4"/>
  <c r="J650" i="4"/>
  <c r="K650" i="4"/>
  <c r="L650" i="4"/>
  <c r="B651" i="4"/>
  <c r="C651" i="4"/>
  <c r="D651" i="4"/>
  <c r="E651" i="4"/>
  <c r="F651" i="4"/>
  <c r="G651" i="4"/>
  <c r="H651" i="4"/>
  <c r="I651" i="4"/>
  <c r="J651" i="4"/>
  <c r="K651" i="4"/>
  <c r="L651" i="4"/>
  <c r="B652" i="4"/>
  <c r="C652" i="4"/>
  <c r="D652" i="4"/>
  <c r="E652" i="4"/>
  <c r="F652" i="4"/>
  <c r="G652" i="4"/>
  <c r="H652" i="4"/>
  <c r="I652" i="4"/>
  <c r="J652" i="4"/>
  <c r="K652" i="4"/>
  <c r="L652" i="4"/>
  <c r="B653" i="4"/>
  <c r="C653" i="4"/>
  <c r="D653" i="4"/>
  <c r="E653" i="4"/>
  <c r="F653" i="4"/>
  <c r="G653" i="4"/>
  <c r="H653" i="4"/>
  <c r="I653" i="4"/>
  <c r="J653" i="4"/>
  <c r="K653" i="4"/>
  <c r="L653" i="4"/>
  <c r="B654" i="4"/>
  <c r="C654" i="4"/>
  <c r="D654" i="4"/>
  <c r="E654" i="4"/>
  <c r="F654" i="4"/>
  <c r="G654" i="4"/>
  <c r="H654" i="4"/>
  <c r="I654" i="4"/>
  <c r="J654" i="4"/>
  <c r="K654" i="4"/>
  <c r="L654" i="4"/>
  <c r="B655" i="4"/>
  <c r="C655" i="4"/>
  <c r="D655" i="4"/>
  <c r="E655" i="4"/>
  <c r="F655" i="4"/>
  <c r="G655" i="4"/>
  <c r="H655" i="4"/>
  <c r="I655" i="4"/>
  <c r="J655" i="4"/>
  <c r="K655" i="4"/>
  <c r="L655" i="4"/>
  <c r="B656" i="4"/>
  <c r="C656" i="4"/>
  <c r="D656" i="4"/>
  <c r="E656" i="4"/>
  <c r="F656" i="4"/>
  <c r="G656" i="4"/>
  <c r="H656" i="4"/>
  <c r="I656" i="4"/>
  <c r="J656" i="4"/>
  <c r="K656" i="4"/>
  <c r="L656" i="4"/>
  <c r="B657" i="4"/>
  <c r="C657" i="4"/>
  <c r="D657" i="4"/>
  <c r="E657" i="4"/>
  <c r="F657" i="4"/>
  <c r="G657" i="4"/>
  <c r="H657" i="4"/>
  <c r="I657" i="4"/>
  <c r="J657" i="4"/>
  <c r="K657" i="4"/>
  <c r="L657" i="4"/>
  <c r="B658" i="4"/>
  <c r="C658" i="4"/>
  <c r="D658" i="4"/>
  <c r="E658" i="4"/>
  <c r="F658" i="4"/>
  <c r="G658" i="4"/>
  <c r="H658" i="4"/>
  <c r="I658" i="4"/>
  <c r="J658" i="4"/>
  <c r="K658" i="4"/>
  <c r="L658" i="4"/>
  <c r="B659" i="4"/>
  <c r="C659" i="4"/>
  <c r="D659" i="4"/>
  <c r="E659" i="4"/>
  <c r="F659" i="4"/>
  <c r="G659" i="4"/>
  <c r="H659" i="4"/>
  <c r="I659" i="4"/>
  <c r="J659" i="4"/>
  <c r="K659" i="4"/>
  <c r="L659" i="4"/>
  <c r="B660" i="4"/>
  <c r="C660" i="4"/>
  <c r="D660" i="4"/>
  <c r="E660" i="4"/>
  <c r="F660" i="4"/>
  <c r="G660" i="4"/>
  <c r="H660" i="4"/>
  <c r="I660" i="4"/>
  <c r="J660" i="4"/>
  <c r="K660" i="4"/>
  <c r="L660" i="4"/>
  <c r="B661" i="4"/>
  <c r="C661" i="4"/>
  <c r="D661" i="4"/>
  <c r="E661" i="4"/>
  <c r="F661" i="4"/>
  <c r="G661" i="4"/>
  <c r="H661" i="4"/>
  <c r="I661" i="4"/>
  <c r="J661" i="4"/>
  <c r="K661" i="4"/>
  <c r="L661" i="4"/>
  <c r="B662" i="4"/>
  <c r="C662" i="4"/>
  <c r="D662" i="4"/>
  <c r="E662" i="4"/>
  <c r="F662" i="4"/>
  <c r="G662" i="4"/>
  <c r="H662" i="4"/>
  <c r="I662" i="4"/>
  <c r="J662" i="4"/>
  <c r="K662" i="4"/>
  <c r="L662" i="4"/>
  <c r="B663" i="4"/>
  <c r="C663" i="4"/>
  <c r="D663" i="4"/>
  <c r="E663" i="4"/>
  <c r="F663" i="4"/>
  <c r="G663" i="4"/>
  <c r="H663" i="4"/>
  <c r="I663" i="4"/>
  <c r="J663" i="4"/>
  <c r="K663" i="4"/>
  <c r="L663" i="4"/>
  <c r="B664" i="4"/>
  <c r="C664" i="4"/>
  <c r="D664" i="4"/>
  <c r="E664" i="4"/>
  <c r="F664" i="4"/>
  <c r="G664" i="4"/>
  <c r="H664" i="4"/>
  <c r="I664" i="4"/>
  <c r="J664" i="4"/>
  <c r="K664" i="4"/>
  <c r="L664" i="4"/>
  <c r="B665" i="4"/>
  <c r="C665" i="4"/>
  <c r="D665" i="4"/>
  <c r="E665" i="4"/>
  <c r="F665" i="4"/>
  <c r="G665" i="4"/>
  <c r="H665" i="4"/>
  <c r="I665" i="4"/>
  <c r="J665" i="4"/>
  <c r="K665" i="4"/>
  <c r="L665" i="4"/>
  <c r="B666" i="4"/>
  <c r="C666" i="4"/>
  <c r="D666" i="4"/>
  <c r="E666" i="4"/>
  <c r="F666" i="4"/>
  <c r="G666" i="4"/>
  <c r="H666" i="4"/>
  <c r="I666" i="4"/>
  <c r="J666" i="4"/>
  <c r="K666" i="4"/>
  <c r="L666" i="4"/>
  <c r="B667" i="4"/>
  <c r="C667" i="4"/>
  <c r="D667" i="4"/>
  <c r="E667" i="4"/>
  <c r="F667" i="4"/>
  <c r="G667" i="4"/>
  <c r="H667" i="4"/>
  <c r="I667" i="4"/>
  <c r="J667" i="4"/>
  <c r="K667" i="4"/>
  <c r="L667" i="4"/>
  <c r="B668" i="4"/>
  <c r="C668" i="4"/>
  <c r="D668" i="4"/>
  <c r="E668" i="4"/>
  <c r="F668" i="4"/>
  <c r="G668" i="4"/>
  <c r="H668" i="4"/>
  <c r="I668" i="4"/>
  <c r="J668" i="4"/>
  <c r="K668" i="4"/>
  <c r="L668" i="4"/>
  <c r="B669" i="4"/>
  <c r="C669" i="4"/>
  <c r="D669" i="4"/>
  <c r="E669" i="4"/>
  <c r="F669" i="4"/>
  <c r="G669" i="4"/>
  <c r="H669" i="4"/>
  <c r="I669" i="4"/>
  <c r="J669" i="4"/>
  <c r="K669" i="4"/>
  <c r="L669" i="4"/>
  <c r="B670" i="4"/>
  <c r="C670" i="4"/>
  <c r="D670" i="4"/>
  <c r="E670" i="4"/>
  <c r="F670" i="4"/>
  <c r="G670" i="4"/>
  <c r="H670" i="4"/>
  <c r="I670" i="4"/>
  <c r="J670" i="4"/>
  <c r="K670" i="4"/>
  <c r="L670" i="4"/>
  <c r="B671" i="4"/>
  <c r="C671" i="4"/>
  <c r="D671" i="4"/>
  <c r="E671" i="4"/>
  <c r="F671" i="4"/>
  <c r="G671" i="4"/>
  <c r="H671" i="4"/>
  <c r="I671" i="4"/>
  <c r="J671" i="4"/>
  <c r="K671" i="4"/>
  <c r="L671" i="4"/>
  <c r="B672" i="4"/>
  <c r="C672" i="4"/>
  <c r="D672" i="4"/>
  <c r="E672" i="4"/>
  <c r="F672" i="4"/>
  <c r="G672" i="4"/>
  <c r="H672" i="4"/>
  <c r="I672" i="4"/>
  <c r="J672" i="4"/>
  <c r="K672" i="4"/>
  <c r="L672" i="4"/>
  <c r="B673" i="4"/>
  <c r="C673" i="4"/>
  <c r="D673" i="4"/>
  <c r="E673" i="4"/>
  <c r="F673" i="4"/>
  <c r="G673" i="4"/>
  <c r="H673" i="4"/>
  <c r="I673" i="4"/>
  <c r="J673" i="4"/>
  <c r="K673" i="4"/>
  <c r="L673" i="4"/>
  <c r="B674" i="4"/>
  <c r="C674" i="4"/>
  <c r="D674" i="4"/>
  <c r="E674" i="4"/>
  <c r="F674" i="4"/>
  <c r="G674" i="4"/>
  <c r="H674" i="4"/>
  <c r="I674" i="4"/>
  <c r="J674" i="4"/>
  <c r="K674" i="4"/>
  <c r="L674" i="4"/>
  <c r="B675" i="4"/>
  <c r="C675" i="4"/>
  <c r="D675" i="4"/>
  <c r="E675" i="4"/>
  <c r="F675" i="4"/>
  <c r="G675" i="4"/>
  <c r="H675" i="4"/>
  <c r="I675" i="4"/>
  <c r="J675" i="4"/>
  <c r="K675" i="4"/>
  <c r="L675" i="4"/>
  <c r="B676" i="4"/>
  <c r="C676" i="4"/>
  <c r="D676" i="4"/>
  <c r="E676" i="4"/>
  <c r="F676" i="4"/>
  <c r="G676" i="4"/>
  <c r="H676" i="4"/>
  <c r="I676" i="4"/>
  <c r="J676" i="4"/>
  <c r="K676" i="4"/>
  <c r="L676" i="4"/>
  <c r="B677" i="4"/>
  <c r="C677" i="4"/>
  <c r="D677" i="4"/>
  <c r="E677" i="4"/>
  <c r="F677" i="4"/>
  <c r="G677" i="4"/>
  <c r="H677" i="4"/>
  <c r="I677" i="4"/>
  <c r="J677" i="4"/>
  <c r="K677" i="4"/>
  <c r="L677" i="4"/>
  <c r="B678" i="4"/>
  <c r="C678" i="4"/>
  <c r="D678" i="4"/>
  <c r="E678" i="4"/>
  <c r="F678" i="4"/>
  <c r="G678" i="4"/>
  <c r="H678" i="4"/>
  <c r="I678" i="4"/>
  <c r="J678" i="4"/>
  <c r="K678" i="4"/>
  <c r="L678" i="4"/>
  <c r="B679" i="4"/>
  <c r="C679" i="4"/>
  <c r="D679" i="4"/>
  <c r="E679" i="4"/>
  <c r="F679" i="4"/>
  <c r="G679" i="4"/>
  <c r="H679" i="4"/>
  <c r="I679" i="4"/>
  <c r="J679" i="4"/>
  <c r="K679" i="4"/>
  <c r="L679" i="4"/>
  <c r="B680" i="4"/>
  <c r="C680" i="4"/>
  <c r="D680" i="4"/>
  <c r="E680" i="4"/>
  <c r="F680" i="4"/>
  <c r="G680" i="4"/>
  <c r="H680" i="4"/>
  <c r="I680" i="4"/>
  <c r="J680" i="4"/>
  <c r="K680" i="4"/>
  <c r="L680" i="4"/>
  <c r="B681" i="4"/>
  <c r="C681" i="4"/>
  <c r="D681" i="4"/>
  <c r="E681" i="4"/>
  <c r="F681" i="4"/>
  <c r="G681" i="4"/>
  <c r="H681" i="4"/>
  <c r="I681" i="4"/>
  <c r="J681" i="4"/>
  <c r="K681" i="4"/>
  <c r="L681" i="4"/>
  <c r="B682" i="4"/>
  <c r="C682" i="4"/>
  <c r="D682" i="4"/>
  <c r="E682" i="4"/>
  <c r="F682" i="4"/>
  <c r="G682" i="4"/>
  <c r="H682" i="4"/>
  <c r="I682" i="4"/>
  <c r="J682" i="4"/>
  <c r="K682" i="4"/>
  <c r="L682" i="4"/>
  <c r="B683" i="4"/>
  <c r="C683" i="4"/>
  <c r="D683" i="4"/>
  <c r="E683" i="4"/>
  <c r="F683" i="4"/>
  <c r="G683" i="4"/>
  <c r="H683" i="4"/>
  <c r="I683" i="4"/>
  <c r="J683" i="4"/>
  <c r="K683" i="4"/>
  <c r="L683" i="4"/>
  <c r="B684" i="4"/>
  <c r="C684" i="4"/>
  <c r="D684" i="4"/>
  <c r="E684" i="4"/>
  <c r="F684" i="4"/>
  <c r="G684" i="4"/>
  <c r="H684" i="4"/>
  <c r="I684" i="4"/>
  <c r="J684" i="4"/>
  <c r="K684" i="4"/>
  <c r="L684" i="4"/>
  <c r="B685" i="4"/>
  <c r="C685" i="4"/>
  <c r="D685" i="4"/>
  <c r="E685" i="4"/>
  <c r="F685" i="4"/>
  <c r="G685" i="4"/>
  <c r="H685" i="4"/>
  <c r="I685" i="4"/>
  <c r="J685" i="4"/>
  <c r="K685" i="4"/>
  <c r="L685" i="4"/>
  <c r="B686" i="4"/>
  <c r="C686" i="4"/>
  <c r="D686" i="4"/>
  <c r="E686" i="4"/>
  <c r="F686" i="4"/>
  <c r="G686" i="4"/>
  <c r="H686" i="4"/>
  <c r="I686" i="4"/>
  <c r="J686" i="4"/>
  <c r="K686" i="4"/>
  <c r="L686" i="4"/>
  <c r="B687" i="4"/>
  <c r="C687" i="4"/>
  <c r="D687" i="4"/>
  <c r="E687" i="4"/>
  <c r="F687" i="4"/>
  <c r="G687" i="4"/>
  <c r="H687" i="4"/>
  <c r="I687" i="4"/>
  <c r="J687" i="4"/>
  <c r="K687" i="4"/>
  <c r="L687" i="4"/>
  <c r="B688" i="4"/>
  <c r="C688" i="4"/>
  <c r="D688" i="4"/>
  <c r="E688" i="4"/>
  <c r="F688" i="4"/>
  <c r="G688" i="4"/>
  <c r="H688" i="4"/>
  <c r="I688" i="4"/>
  <c r="J688" i="4"/>
  <c r="K688" i="4"/>
  <c r="L688" i="4"/>
  <c r="B689" i="4"/>
  <c r="C689" i="4"/>
  <c r="D689" i="4"/>
  <c r="E689" i="4"/>
  <c r="F689" i="4"/>
  <c r="G689" i="4"/>
  <c r="H689" i="4"/>
  <c r="I689" i="4"/>
  <c r="J689" i="4"/>
  <c r="K689" i="4"/>
  <c r="L689" i="4"/>
  <c r="B690" i="4"/>
  <c r="C690" i="4"/>
  <c r="D690" i="4"/>
  <c r="E690" i="4"/>
  <c r="F690" i="4"/>
  <c r="G690" i="4"/>
  <c r="H690" i="4"/>
  <c r="I690" i="4"/>
  <c r="J690" i="4"/>
  <c r="K690" i="4"/>
  <c r="L690" i="4"/>
  <c r="B691" i="4"/>
  <c r="C691" i="4"/>
  <c r="D691" i="4"/>
  <c r="E691" i="4"/>
  <c r="F691" i="4"/>
  <c r="G691" i="4"/>
  <c r="H691" i="4"/>
  <c r="I691" i="4"/>
  <c r="J691" i="4"/>
  <c r="K691" i="4"/>
  <c r="L691" i="4"/>
  <c r="B692" i="4"/>
  <c r="C692" i="4"/>
  <c r="D692" i="4"/>
  <c r="E692" i="4"/>
  <c r="F692" i="4"/>
  <c r="G692" i="4"/>
  <c r="H692" i="4"/>
  <c r="I692" i="4"/>
  <c r="J692" i="4"/>
  <c r="K692" i="4"/>
  <c r="L692" i="4"/>
  <c r="B693" i="4"/>
  <c r="C693" i="4"/>
  <c r="D693" i="4"/>
  <c r="E693" i="4"/>
  <c r="F693" i="4"/>
  <c r="G693" i="4"/>
  <c r="H693" i="4"/>
  <c r="I693" i="4"/>
  <c r="J693" i="4"/>
  <c r="K693" i="4"/>
  <c r="L693" i="4"/>
  <c r="B694" i="4"/>
  <c r="C694" i="4"/>
  <c r="D694" i="4"/>
  <c r="E694" i="4"/>
  <c r="F694" i="4"/>
  <c r="G694" i="4"/>
  <c r="H694" i="4"/>
  <c r="I694" i="4"/>
  <c r="J694" i="4"/>
  <c r="K694" i="4"/>
  <c r="L694" i="4"/>
  <c r="B695" i="4"/>
  <c r="C695" i="4"/>
  <c r="D695" i="4"/>
  <c r="E695" i="4"/>
  <c r="F695" i="4"/>
  <c r="G695" i="4"/>
  <c r="H695" i="4"/>
  <c r="I695" i="4"/>
  <c r="J695" i="4"/>
  <c r="K695" i="4"/>
  <c r="L695" i="4"/>
  <c r="B696" i="4"/>
  <c r="C696" i="4"/>
  <c r="D696" i="4"/>
  <c r="E696" i="4"/>
  <c r="F696" i="4"/>
  <c r="G696" i="4"/>
  <c r="H696" i="4"/>
  <c r="I696" i="4"/>
  <c r="J696" i="4"/>
  <c r="K696" i="4"/>
  <c r="L696" i="4"/>
  <c r="B697" i="4"/>
  <c r="C697" i="4"/>
  <c r="D697" i="4"/>
  <c r="E697" i="4"/>
  <c r="F697" i="4"/>
  <c r="G697" i="4"/>
  <c r="H697" i="4"/>
  <c r="I697" i="4"/>
  <c r="J697" i="4"/>
  <c r="K697" i="4"/>
  <c r="L697" i="4"/>
  <c r="B698" i="4"/>
  <c r="C698" i="4"/>
  <c r="D698" i="4"/>
  <c r="E698" i="4"/>
  <c r="F698" i="4"/>
  <c r="G698" i="4"/>
  <c r="H698" i="4"/>
  <c r="I698" i="4"/>
  <c r="J698" i="4"/>
  <c r="K698" i="4"/>
  <c r="L698" i="4"/>
  <c r="B699" i="4"/>
  <c r="C699" i="4"/>
  <c r="D699" i="4"/>
  <c r="E699" i="4"/>
  <c r="F699" i="4"/>
  <c r="G699" i="4"/>
  <c r="H699" i="4"/>
  <c r="I699" i="4"/>
  <c r="J699" i="4"/>
  <c r="K699" i="4"/>
  <c r="L699" i="4"/>
  <c r="B700" i="4"/>
  <c r="C700" i="4"/>
  <c r="D700" i="4"/>
  <c r="E700" i="4"/>
  <c r="F700" i="4"/>
  <c r="G700" i="4"/>
  <c r="H700" i="4"/>
  <c r="I700" i="4"/>
  <c r="J700" i="4"/>
  <c r="K700" i="4"/>
  <c r="L700" i="4"/>
  <c r="B701" i="4"/>
  <c r="C701" i="4"/>
  <c r="D701" i="4"/>
  <c r="E701" i="4"/>
  <c r="F701" i="4"/>
  <c r="G701" i="4"/>
  <c r="H701" i="4"/>
  <c r="I701" i="4"/>
  <c r="J701" i="4"/>
  <c r="K701" i="4"/>
  <c r="L701" i="4"/>
  <c r="B702" i="4"/>
  <c r="C702" i="4"/>
  <c r="D702" i="4"/>
  <c r="E702" i="4"/>
  <c r="F702" i="4"/>
  <c r="G702" i="4"/>
  <c r="H702" i="4"/>
  <c r="I702" i="4"/>
  <c r="J702" i="4"/>
  <c r="K702" i="4"/>
  <c r="L702" i="4"/>
  <c r="B703" i="4"/>
  <c r="C703" i="4"/>
  <c r="D703" i="4"/>
  <c r="E703" i="4"/>
  <c r="F703" i="4"/>
  <c r="G703" i="4"/>
  <c r="H703" i="4"/>
  <c r="I703" i="4"/>
  <c r="J703" i="4"/>
  <c r="K703" i="4"/>
  <c r="L703" i="4"/>
  <c r="B704" i="4"/>
  <c r="C704" i="4"/>
  <c r="D704" i="4"/>
  <c r="E704" i="4"/>
  <c r="F704" i="4"/>
  <c r="G704" i="4"/>
  <c r="H704" i="4"/>
  <c r="I704" i="4"/>
  <c r="J704" i="4"/>
  <c r="K704" i="4"/>
  <c r="L704" i="4"/>
  <c r="B705" i="4"/>
  <c r="C705" i="4"/>
  <c r="D705" i="4"/>
  <c r="E705" i="4"/>
  <c r="F705" i="4"/>
  <c r="G705" i="4"/>
  <c r="H705" i="4"/>
  <c r="I705" i="4"/>
  <c r="J705" i="4"/>
  <c r="K705" i="4"/>
  <c r="L705" i="4"/>
  <c r="B706" i="4"/>
  <c r="C706" i="4"/>
  <c r="D706" i="4"/>
  <c r="E706" i="4"/>
  <c r="F706" i="4"/>
  <c r="G706" i="4"/>
  <c r="H706" i="4"/>
  <c r="I706" i="4"/>
  <c r="J706" i="4"/>
  <c r="K706" i="4"/>
  <c r="L706" i="4"/>
  <c r="B707" i="4"/>
  <c r="C707" i="4"/>
  <c r="D707" i="4"/>
  <c r="E707" i="4"/>
  <c r="F707" i="4"/>
  <c r="G707" i="4"/>
  <c r="H707" i="4"/>
  <c r="I707" i="4"/>
  <c r="J707" i="4"/>
  <c r="K707" i="4"/>
  <c r="L707" i="4"/>
  <c r="B708" i="4"/>
  <c r="C708" i="4"/>
  <c r="D708" i="4"/>
  <c r="E708" i="4"/>
  <c r="F708" i="4"/>
  <c r="G708" i="4"/>
  <c r="H708" i="4"/>
  <c r="I708" i="4"/>
  <c r="J708" i="4"/>
  <c r="K708" i="4"/>
  <c r="L708" i="4"/>
  <c r="B709" i="4"/>
  <c r="C709" i="4"/>
  <c r="D709" i="4"/>
  <c r="E709" i="4"/>
  <c r="F709" i="4"/>
  <c r="G709" i="4"/>
  <c r="H709" i="4"/>
  <c r="I709" i="4"/>
  <c r="J709" i="4"/>
  <c r="K709" i="4"/>
  <c r="L709" i="4"/>
  <c r="B710" i="4"/>
  <c r="C710" i="4"/>
  <c r="D710" i="4"/>
  <c r="E710" i="4"/>
  <c r="F710" i="4"/>
  <c r="G710" i="4"/>
  <c r="H710" i="4"/>
  <c r="I710" i="4"/>
  <c r="J710" i="4"/>
  <c r="K710" i="4"/>
  <c r="L710" i="4"/>
  <c r="B711" i="4"/>
  <c r="C711" i="4"/>
  <c r="D711" i="4"/>
  <c r="E711" i="4"/>
  <c r="F711" i="4"/>
  <c r="G711" i="4"/>
  <c r="H711" i="4"/>
  <c r="I711" i="4"/>
  <c r="J711" i="4"/>
  <c r="K711" i="4"/>
  <c r="L711" i="4"/>
  <c r="B712" i="4"/>
  <c r="C712" i="4"/>
  <c r="D712" i="4"/>
  <c r="E712" i="4"/>
  <c r="F712" i="4"/>
  <c r="G712" i="4"/>
  <c r="H712" i="4"/>
  <c r="I712" i="4"/>
  <c r="J712" i="4"/>
  <c r="K712" i="4"/>
  <c r="L712" i="4"/>
  <c r="B713" i="4"/>
  <c r="C713" i="4"/>
  <c r="D713" i="4"/>
  <c r="E713" i="4"/>
  <c r="F713" i="4"/>
  <c r="G713" i="4"/>
  <c r="H713" i="4"/>
  <c r="I713" i="4"/>
  <c r="J713" i="4"/>
  <c r="K713" i="4"/>
  <c r="L713" i="4"/>
  <c r="B714" i="4"/>
  <c r="C714" i="4"/>
  <c r="D714" i="4"/>
  <c r="E714" i="4"/>
  <c r="F714" i="4"/>
  <c r="G714" i="4"/>
  <c r="H714" i="4"/>
  <c r="I714" i="4"/>
  <c r="J714" i="4"/>
  <c r="K714" i="4"/>
  <c r="L714" i="4"/>
  <c r="B715" i="4"/>
  <c r="C715" i="4"/>
  <c r="D715" i="4"/>
  <c r="E715" i="4"/>
  <c r="F715" i="4"/>
  <c r="G715" i="4"/>
  <c r="H715" i="4"/>
  <c r="I715" i="4"/>
  <c r="J715" i="4"/>
  <c r="K715" i="4"/>
  <c r="L715" i="4"/>
  <c r="B716" i="4"/>
  <c r="C716" i="4"/>
  <c r="D716" i="4"/>
  <c r="E716" i="4"/>
  <c r="F716" i="4"/>
  <c r="G716" i="4"/>
  <c r="H716" i="4"/>
  <c r="I716" i="4"/>
  <c r="J716" i="4"/>
  <c r="K716" i="4"/>
  <c r="L716" i="4"/>
  <c r="B717" i="4"/>
  <c r="C717" i="4"/>
  <c r="D717" i="4"/>
  <c r="E717" i="4"/>
  <c r="F717" i="4"/>
  <c r="G717" i="4"/>
  <c r="H717" i="4"/>
  <c r="I717" i="4"/>
  <c r="J717" i="4"/>
  <c r="K717" i="4"/>
  <c r="L717" i="4"/>
  <c r="B718" i="4"/>
  <c r="C718" i="4"/>
  <c r="D718" i="4"/>
  <c r="E718" i="4"/>
  <c r="F718" i="4"/>
  <c r="G718" i="4"/>
  <c r="H718" i="4"/>
  <c r="I718" i="4"/>
  <c r="J718" i="4"/>
  <c r="K718" i="4"/>
  <c r="L718" i="4"/>
  <c r="B719" i="4"/>
  <c r="C719" i="4"/>
  <c r="D719" i="4"/>
  <c r="E719" i="4"/>
  <c r="F719" i="4"/>
  <c r="G719" i="4"/>
  <c r="H719" i="4"/>
  <c r="I719" i="4"/>
  <c r="J719" i="4"/>
  <c r="K719" i="4"/>
  <c r="L719" i="4"/>
  <c r="B720" i="4"/>
  <c r="C720" i="4"/>
  <c r="D720" i="4"/>
  <c r="E720" i="4"/>
  <c r="F720" i="4"/>
  <c r="G720" i="4"/>
  <c r="H720" i="4"/>
  <c r="I720" i="4"/>
  <c r="J720" i="4"/>
  <c r="K720" i="4"/>
  <c r="L720" i="4"/>
  <c r="B721" i="4"/>
  <c r="C721" i="4"/>
  <c r="D721" i="4"/>
  <c r="E721" i="4"/>
  <c r="F721" i="4"/>
  <c r="G721" i="4"/>
  <c r="H721" i="4"/>
  <c r="I721" i="4"/>
  <c r="J721" i="4"/>
  <c r="K721" i="4"/>
  <c r="L721" i="4"/>
  <c r="B722" i="4"/>
  <c r="C722" i="4"/>
  <c r="D722" i="4"/>
  <c r="E722" i="4"/>
  <c r="F722" i="4"/>
  <c r="G722" i="4"/>
  <c r="H722" i="4"/>
  <c r="I722" i="4"/>
  <c r="J722" i="4"/>
  <c r="K722" i="4"/>
  <c r="L722" i="4"/>
  <c r="B723" i="4"/>
  <c r="C723" i="4"/>
  <c r="D723" i="4"/>
  <c r="E723" i="4"/>
  <c r="F723" i="4"/>
  <c r="G723" i="4"/>
  <c r="H723" i="4"/>
  <c r="I723" i="4"/>
  <c r="J723" i="4"/>
  <c r="K723" i="4"/>
  <c r="L723" i="4"/>
  <c r="B724" i="4"/>
  <c r="C724" i="4"/>
  <c r="D724" i="4"/>
  <c r="E724" i="4"/>
  <c r="F724" i="4"/>
  <c r="G724" i="4"/>
  <c r="H724" i="4"/>
  <c r="I724" i="4"/>
  <c r="J724" i="4"/>
  <c r="K724" i="4"/>
  <c r="L724" i="4"/>
  <c r="B725" i="4"/>
  <c r="C725" i="4"/>
  <c r="D725" i="4"/>
  <c r="E725" i="4"/>
  <c r="F725" i="4"/>
  <c r="G725" i="4"/>
  <c r="H725" i="4"/>
  <c r="I725" i="4"/>
  <c r="J725" i="4"/>
  <c r="K725" i="4"/>
  <c r="L725" i="4"/>
  <c r="B726" i="4"/>
  <c r="C726" i="4"/>
  <c r="D726" i="4"/>
  <c r="E726" i="4"/>
  <c r="F726" i="4"/>
  <c r="G726" i="4"/>
  <c r="H726" i="4"/>
  <c r="I726" i="4"/>
  <c r="J726" i="4"/>
  <c r="K726" i="4"/>
  <c r="L726" i="4"/>
  <c r="B727" i="4"/>
  <c r="C727" i="4"/>
  <c r="D727" i="4"/>
  <c r="E727" i="4"/>
  <c r="F727" i="4"/>
  <c r="G727" i="4"/>
  <c r="H727" i="4"/>
  <c r="I727" i="4"/>
  <c r="J727" i="4"/>
  <c r="K727" i="4"/>
  <c r="L727" i="4"/>
  <c r="B728" i="4"/>
  <c r="C728" i="4"/>
  <c r="D728" i="4"/>
  <c r="E728" i="4"/>
  <c r="F728" i="4"/>
  <c r="G728" i="4"/>
  <c r="H728" i="4"/>
  <c r="I728" i="4"/>
  <c r="J728" i="4"/>
  <c r="K728" i="4"/>
  <c r="L728" i="4"/>
  <c r="B729" i="4"/>
  <c r="C729" i="4"/>
  <c r="D729" i="4"/>
  <c r="E729" i="4"/>
  <c r="F729" i="4"/>
  <c r="G729" i="4"/>
  <c r="H729" i="4"/>
  <c r="I729" i="4"/>
  <c r="J729" i="4"/>
  <c r="K729" i="4"/>
  <c r="L729" i="4"/>
  <c r="B730" i="4"/>
  <c r="C730" i="4"/>
  <c r="D730" i="4"/>
  <c r="E730" i="4"/>
  <c r="F730" i="4"/>
  <c r="G730" i="4"/>
  <c r="H730" i="4"/>
  <c r="I730" i="4"/>
  <c r="J730" i="4"/>
  <c r="K730" i="4"/>
  <c r="L730" i="4"/>
  <c r="B731" i="4"/>
  <c r="C731" i="4"/>
  <c r="D731" i="4"/>
  <c r="E731" i="4"/>
  <c r="F731" i="4"/>
  <c r="G731" i="4"/>
  <c r="H731" i="4"/>
  <c r="I731" i="4"/>
  <c r="J731" i="4"/>
  <c r="K731" i="4"/>
  <c r="L731" i="4"/>
  <c r="B732" i="4"/>
  <c r="C732" i="4"/>
  <c r="D732" i="4"/>
  <c r="E732" i="4"/>
  <c r="F732" i="4"/>
  <c r="G732" i="4"/>
  <c r="H732" i="4"/>
  <c r="I732" i="4"/>
  <c r="J732" i="4"/>
  <c r="K732" i="4"/>
  <c r="L732" i="4"/>
  <c r="B733" i="4"/>
  <c r="C733" i="4"/>
  <c r="D733" i="4"/>
  <c r="E733" i="4"/>
  <c r="F733" i="4"/>
  <c r="G733" i="4"/>
  <c r="H733" i="4"/>
  <c r="I733" i="4"/>
  <c r="J733" i="4"/>
  <c r="K733" i="4"/>
  <c r="L733" i="4"/>
  <c r="B734" i="4"/>
  <c r="C734" i="4"/>
  <c r="D734" i="4"/>
  <c r="E734" i="4"/>
  <c r="F734" i="4"/>
  <c r="G734" i="4"/>
  <c r="H734" i="4"/>
  <c r="I734" i="4"/>
  <c r="J734" i="4"/>
  <c r="K734" i="4"/>
  <c r="L734" i="4"/>
  <c r="B735" i="4"/>
  <c r="C735" i="4"/>
  <c r="D735" i="4"/>
  <c r="E735" i="4"/>
  <c r="F735" i="4"/>
  <c r="G735" i="4"/>
  <c r="H735" i="4"/>
  <c r="I735" i="4"/>
  <c r="J735" i="4"/>
  <c r="K735" i="4"/>
  <c r="L735" i="4"/>
  <c r="B736" i="4"/>
  <c r="C736" i="4"/>
  <c r="D736" i="4"/>
  <c r="E736" i="4"/>
  <c r="F736" i="4"/>
  <c r="G736" i="4"/>
  <c r="H736" i="4"/>
  <c r="I736" i="4"/>
  <c r="J736" i="4"/>
  <c r="K736" i="4"/>
  <c r="L736" i="4"/>
  <c r="B737" i="4"/>
  <c r="C737" i="4"/>
  <c r="D737" i="4"/>
  <c r="E737" i="4"/>
  <c r="F737" i="4"/>
  <c r="G737" i="4"/>
  <c r="H737" i="4"/>
  <c r="I737" i="4"/>
  <c r="J737" i="4"/>
  <c r="K737" i="4"/>
  <c r="L737" i="4"/>
  <c r="B738" i="4"/>
  <c r="C738" i="4"/>
  <c r="D738" i="4"/>
  <c r="E738" i="4"/>
  <c r="F738" i="4"/>
  <c r="G738" i="4"/>
  <c r="H738" i="4"/>
  <c r="I738" i="4"/>
  <c r="J738" i="4"/>
  <c r="K738" i="4"/>
  <c r="L738" i="4"/>
  <c r="B739" i="4"/>
  <c r="C739" i="4"/>
  <c r="D739" i="4"/>
  <c r="E739" i="4"/>
  <c r="F739" i="4"/>
  <c r="G739" i="4"/>
  <c r="H739" i="4"/>
  <c r="I739" i="4"/>
  <c r="J739" i="4"/>
  <c r="K739" i="4"/>
  <c r="L739" i="4"/>
  <c r="B740" i="4"/>
  <c r="C740" i="4"/>
  <c r="D740" i="4"/>
  <c r="E740" i="4"/>
  <c r="F740" i="4"/>
  <c r="G740" i="4"/>
  <c r="H740" i="4"/>
  <c r="I740" i="4"/>
  <c r="J740" i="4"/>
  <c r="K740" i="4"/>
  <c r="L740" i="4"/>
  <c r="B741" i="4"/>
  <c r="C741" i="4"/>
  <c r="D741" i="4"/>
  <c r="E741" i="4"/>
  <c r="F741" i="4"/>
  <c r="G741" i="4"/>
  <c r="H741" i="4"/>
  <c r="I741" i="4"/>
  <c r="J741" i="4"/>
  <c r="K741" i="4"/>
  <c r="L741" i="4"/>
  <c r="B742" i="4"/>
  <c r="C742" i="4"/>
  <c r="D742" i="4"/>
  <c r="E742" i="4"/>
  <c r="F742" i="4"/>
  <c r="G742" i="4"/>
  <c r="H742" i="4"/>
  <c r="I742" i="4"/>
  <c r="J742" i="4"/>
  <c r="K742" i="4"/>
  <c r="L742" i="4"/>
  <c r="B743" i="4"/>
  <c r="C743" i="4"/>
  <c r="D743" i="4"/>
  <c r="E743" i="4"/>
  <c r="F743" i="4"/>
  <c r="G743" i="4"/>
  <c r="H743" i="4"/>
  <c r="I743" i="4"/>
  <c r="J743" i="4"/>
  <c r="K743" i="4"/>
  <c r="L743" i="4"/>
  <c r="B744" i="4"/>
  <c r="C744" i="4"/>
  <c r="D744" i="4"/>
  <c r="E744" i="4"/>
  <c r="F744" i="4"/>
  <c r="G744" i="4"/>
  <c r="H744" i="4"/>
  <c r="I744" i="4"/>
  <c r="J744" i="4"/>
  <c r="K744" i="4"/>
  <c r="L744" i="4"/>
  <c r="B745" i="4"/>
  <c r="C745" i="4"/>
  <c r="D745" i="4"/>
  <c r="E745" i="4"/>
  <c r="F745" i="4"/>
  <c r="G745" i="4"/>
  <c r="H745" i="4"/>
  <c r="I745" i="4"/>
  <c r="J745" i="4"/>
  <c r="K745" i="4"/>
  <c r="L745" i="4"/>
  <c r="B746" i="4"/>
  <c r="C746" i="4"/>
  <c r="D746" i="4"/>
  <c r="E746" i="4"/>
  <c r="F746" i="4"/>
  <c r="G746" i="4"/>
  <c r="H746" i="4"/>
  <c r="I746" i="4"/>
  <c r="J746" i="4"/>
  <c r="K746" i="4"/>
  <c r="L746" i="4"/>
  <c r="B747" i="4"/>
  <c r="C747" i="4"/>
  <c r="D747" i="4"/>
  <c r="E747" i="4"/>
  <c r="F747" i="4"/>
  <c r="G747" i="4"/>
  <c r="H747" i="4"/>
  <c r="I747" i="4"/>
  <c r="J747" i="4"/>
  <c r="K747" i="4"/>
  <c r="L747" i="4"/>
  <c r="B748" i="4"/>
  <c r="C748" i="4"/>
  <c r="D748" i="4"/>
  <c r="E748" i="4"/>
  <c r="F748" i="4"/>
  <c r="G748" i="4"/>
  <c r="H748" i="4"/>
  <c r="I748" i="4"/>
  <c r="J748" i="4"/>
  <c r="K748" i="4"/>
  <c r="L748" i="4"/>
  <c r="B749" i="4"/>
  <c r="C749" i="4"/>
  <c r="D749" i="4"/>
  <c r="E749" i="4"/>
  <c r="F749" i="4"/>
  <c r="G749" i="4"/>
  <c r="H749" i="4"/>
  <c r="I749" i="4"/>
  <c r="J749" i="4"/>
  <c r="K749" i="4"/>
  <c r="L749" i="4"/>
  <c r="B750" i="4"/>
  <c r="C750" i="4"/>
  <c r="D750" i="4"/>
  <c r="E750" i="4"/>
  <c r="F750" i="4"/>
  <c r="G750" i="4"/>
  <c r="H750" i="4"/>
  <c r="I750" i="4"/>
  <c r="J750" i="4"/>
  <c r="K750" i="4"/>
  <c r="L750" i="4"/>
  <c r="B751" i="4"/>
  <c r="C751" i="4"/>
  <c r="D751" i="4"/>
  <c r="E751" i="4"/>
  <c r="F751" i="4"/>
  <c r="G751" i="4"/>
  <c r="H751" i="4"/>
  <c r="I751" i="4"/>
  <c r="J751" i="4"/>
  <c r="K751" i="4"/>
  <c r="L751" i="4"/>
  <c r="B752" i="4"/>
  <c r="C752" i="4"/>
  <c r="D752" i="4"/>
  <c r="E752" i="4"/>
  <c r="F752" i="4"/>
  <c r="G752" i="4"/>
  <c r="H752" i="4"/>
  <c r="I752" i="4"/>
  <c r="J752" i="4"/>
  <c r="K752" i="4"/>
  <c r="L752" i="4"/>
  <c r="B753" i="4"/>
  <c r="C753" i="4"/>
  <c r="D753" i="4"/>
  <c r="E753" i="4"/>
  <c r="F753" i="4"/>
  <c r="G753" i="4"/>
  <c r="H753" i="4"/>
  <c r="I753" i="4"/>
  <c r="J753" i="4"/>
  <c r="K753" i="4"/>
  <c r="L753" i="4"/>
  <c r="B754" i="4"/>
  <c r="C754" i="4"/>
  <c r="D754" i="4"/>
  <c r="E754" i="4"/>
  <c r="F754" i="4"/>
  <c r="G754" i="4"/>
  <c r="H754" i="4"/>
  <c r="I754" i="4"/>
  <c r="J754" i="4"/>
  <c r="K754" i="4"/>
  <c r="L754" i="4"/>
  <c r="B755" i="4"/>
  <c r="C755" i="4"/>
  <c r="D755" i="4"/>
  <c r="E755" i="4"/>
  <c r="F755" i="4"/>
  <c r="G755" i="4"/>
  <c r="H755" i="4"/>
  <c r="I755" i="4"/>
  <c r="J755" i="4"/>
  <c r="K755" i="4"/>
  <c r="L755" i="4"/>
  <c r="B756" i="4"/>
  <c r="C756" i="4"/>
  <c r="D756" i="4"/>
  <c r="E756" i="4"/>
  <c r="F756" i="4"/>
  <c r="G756" i="4"/>
  <c r="H756" i="4"/>
  <c r="I756" i="4"/>
  <c r="J756" i="4"/>
  <c r="K756" i="4"/>
  <c r="L756" i="4"/>
  <c r="B757" i="4"/>
  <c r="C757" i="4"/>
  <c r="D757" i="4"/>
  <c r="E757" i="4"/>
  <c r="F757" i="4"/>
  <c r="G757" i="4"/>
  <c r="H757" i="4"/>
  <c r="I757" i="4"/>
  <c r="J757" i="4"/>
  <c r="K757" i="4"/>
  <c r="L757" i="4"/>
  <c r="B758" i="4"/>
  <c r="C758" i="4"/>
  <c r="D758" i="4"/>
  <c r="E758" i="4"/>
  <c r="F758" i="4"/>
  <c r="G758" i="4"/>
  <c r="H758" i="4"/>
  <c r="I758" i="4"/>
  <c r="J758" i="4"/>
  <c r="K758" i="4"/>
  <c r="L758" i="4"/>
  <c r="B759" i="4"/>
  <c r="C759" i="4"/>
  <c r="D759" i="4"/>
  <c r="E759" i="4"/>
  <c r="F759" i="4"/>
  <c r="G759" i="4"/>
  <c r="H759" i="4"/>
  <c r="I759" i="4"/>
  <c r="J759" i="4"/>
  <c r="K759" i="4"/>
  <c r="L759" i="4"/>
  <c r="B760" i="4"/>
  <c r="C760" i="4"/>
  <c r="D760" i="4"/>
  <c r="E760" i="4"/>
  <c r="F760" i="4"/>
  <c r="G760" i="4"/>
  <c r="H760" i="4"/>
  <c r="I760" i="4"/>
  <c r="J760" i="4"/>
  <c r="K760" i="4"/>
  <c r="L760" i="4"/>
  <c r="B761" i="4"/>
  <c r="C761" i="4"/>
  <c r="D761" i="4"/>
  <c r="E761" i="4"/>
  <c r="F761" i="4"/>
  <c r="G761" i="4"/>
  <c r="H761" i="4"/>
  <c r="I761" i="4"/>
  <c r="J761" i="4"/>
  <c r="K761" i="4"/>
  <c r="L761" i="4"/>
  <c r="B762" i="4"/>
  <c r="C762" i="4"/>
  <c r="D762" i="4"/>
  <c r="E762" i="4"/>
  <c r="F762" i="4"/>
  <c r="G762" i="4"/>
  <c r="H762" i="4"/>
  <c r="I762" i="4"/>
  <c r="J762" i="4"/>
  <c r="K762" i="4"/>
  <c r="L762" i="4"/>
  <c r="B763" i="4"/>
  <c r="C763" i="4"/>
  <c r="D763" i="4"/>
  <c r="E763" i="4"/>
  <c r="F763" i="4"/>
  <c r="G763" i="4"/>
  <c r="H763" i="4"/>
  <c r="I763" i="4"/>
  <c r="J763" i="4"/>
  <c r="K763" i="4"/>
  <c r="L763" i="4"/>
  <c r="B764" i="4"/>
  <c r="C764" i="4"/>
  <c r="D764" i="4"/>
  <c r="E764" i="4"/>
  <c r="F764" i="4"/>
  <c r="G764" i="4"/>
  <c r="H764" i="4"/>
  <c r="I764" i="4"/>
  <c r="J764" i="4"/>
  <c r="K764" i="4"/>
  <c r="L764" i="4"/>
  <c r="B765" i="4"/>
  <c r="C765" i="4"/>
  <c r="D765" i="4"/>
  <c r="E765" i="4"/>
  <c r="F765" i="4"/>
  <c r="G765" i="4"/>
  <c r="H765" i="4"/>
  <c r="I765" i="4"/>
  <c r="J765" i="4"/>
  <c r="K765" i="4"/>
  <c r="L765" i="4"/>
  <c r="B766" i="4"/>
  <c r="C766" i="4"/>
  <c r="D766" i="4"/>
  <c r="E766" i="4"/>
  <c r="F766" i="4"/>
  <c r="G766" i="4"/>
  <c r="H766" i="4"/>
  <c r="I766" i="4"/>
  <c r="J766" i="4"/>
  <c r="K766" i="4"/>
  <c r="L766" i="4"/>
  <c r="B767" i="4"/>
  <c r="C767" i="4"/>
  <c r="D767" i="4"/>
  <c r="E767" i="4"/>
  <c r="F767" i="4"/>
  <c r="G767" i="4"/>
  <c r="H767" i="4"/>
  <c r="I767" i="4"/>
  <c r="J767" i="4"/>
  <c r="K767" i="4"/>
  <c r="L767" i="4"/>
  <c r="B768" i="4"/>
  <c r="C768" i="4"/>
  <c r="D768" i="4"/>
  <c r="E768" i="4"/>
  <c r="F768" i="4"/>
  <c r="G768" i="4"/>
  <c r="H768" i="4"/>
  <c r="I768" i="4"/>
  <c r="J768" i="4"/>
  <c r="K768" i="4"/>
  <c r="L768" i="4"/>
  <c r="B769" i="4"/>
  <c r="C769" i="4"/>
  <c r="D769" i="4"/>
  <c r="E769" i="4"/>
  <c r="F769" i="4"/>
  <c r="G769" i="4"/>
  <c r="H769" i="4"/>
  <c r="I769" i="4"/>
  <c r="J769" i="4"/>
  <c r="K769" i="4"/>
  <c r="L769" i="4"/>
  <c r="B770" i="4"/>
  <c r="C770" i="4"/>
  <c r="D770" i="4"/>
  <c r="E770" i="4"/>
  <c r="F770" i="4"/>
  <c r="G770" i="4"/>
  <c r="H770" i="4"/>
  <c r="I770" i="4"/>
  <c r="J770" i="4"/>
  <c r="K770" i="4"/>
  <c r="L770" i="4"/>
  <c r="B771" i="4"/>
  <c r="C771" i="4"/>
  <c r="D771" i="4"/>
  <c r="E771" i="4"/>
  <c r="F771" i="4"/>
  <c r="G771" i="4"/>
  <c r="H771" i="4"/>
  <c r="I771" i="4"/>
  <c r="J771" i="4"/>
  <c r="K771" i="4"/>
  <c r="L771" i="4"/>
  <c r="B772" i="4"/>
  <c r="C772" i="4"/>
  <c r="D772" i="4"/>
  <c r="E772" i="4"/>
  <c r="F772" i="4"/>
  <c r="G772" i="4"/>
  <c r="H772" i="4"/>
  <c r="I772" i="4"/>
  <c r="J772" i="4"/>
  <c r="K772" i="4"/>
  <c r="L772" i="4"/>
  <c r="B773" i="4"/>
  <c r="C773" i="4"/>
  <c r="D773" i="4"/>
  <c r="E773" i="4"/>
  <c r="F773" i="4"/>
  <c r="G773" i="4"/>
  <c r="H773" i="4"/>
  <c r="I773" i="4"/>
  <c r="J773" i="4"/>
  <c r="K773" i="4"/>
  <c r="L773" i="4"/>
  <c r="B774" i="4"/>
  <c r="C774" i="4"/>
  <c r="D774" i="4"/>
  <c r="E774" i="4"/>
  <c r="F774" i="4"/>
  <c r="G774" i="4"/>
  <c r="H774" i="4"/>
  <c r="I774" i="4"/>
  <c r="J774" i="4"/>
  <c r="K774" i="4"/>
  <c r="L774" i="4"/>
  <c r="B775" i="4"/>
  <c r="C775" i="4"/>
  <c r="D775" i="4"/>
  <c r="E775" i="4"/>
  <c r="F775" i="4"/>
  <c r="G775" i="4"/>
  <c r="H775" i="4"/>
  <c r="I775" i="4"/>
  <c r="J775" i="4"/>
  <c r="K775" i="4"/>
  <c r="L775" i="4"/>
  <c r="B776" i="4"/>
  <c r="C776" i="4"/>
  <c r="D776" i="4"/>
  <c r="E776" i="4"/>
  <c r="F776" i="4"/>
  <c r="G776" i="4"/>
  <c r="H776" i="4"/>
  <c r="I776" i="4"/>
  <c r="J776" i="4"/>
  <c r="K776" i="4"/>
  <c r="L776" i="4"/>
  <c r="B777" i="4"/>
  <c r="C777" i="4"/>
  <c r="D777" i="4"/>
  <c r="E777" i="4"/>
  <c r="F777" i="4"/>
  <c r="G777" i="4"/>
  <c r="H777" i="4"/>
  <c r="I777" i="4"/>
  <c r="J777" i="4"/>
  <c r="K777" i="4"/>
  <c r="L777" i="4"/>
  <c r="B778" i="4"/>
  <c r="C778" i="4"/>
  <c r="D778" i="4"/>
  <c r="E778" i="4"/>
  <c r="F778" i="4"/>
  <c r="G778" i="4"/>
  <c r="H778" i="4"/>
  <c r="I778" i="4"/>
  <c r="J778" i="4"/>
  <c r="K778" i="4"/>
  <c r="L778" i="4"/>
  <c r="B779" i="4"/>
  <c r="C779" i="4"/>
  <c r="D779" i="4"/>
  <c r="E779" i="4"/>
  <c r="F779" i="4"/>
  <c r="G779" i="4"/>
  <c r="H779" i="4"/>
  <c r="I779" i="4"/>
  <c r="J779" i="4"/>
  <c r="K779" i="4"/>
  <c r="L779" i="4"/>
  <c r="B780" i="4"/>
  <c r="C780" i="4"/>
  <c r="D780" i="4"/>
  <c r="E780" i="4"/>
  <c r="F780" i="4"/>
  <c r="G780" i="4"/>
  <c r="H780" i="4"/>
  <c r="I780" i="4"/>
  <c r="J780" i="4"/>
  <c r="K780" i="4"/>
  <c r="L780" i="4"/>
  <c r="B781" i="4"/>
  <c r="C781" i="4"/>
  <c r="D781" i="4"/>
  <c r="E781" i="4"/>
  <c r="F781" i="4"/>
  <c r="G781" i="4"/>
  <c r="H781" i="4"/>
  <c r="I781" i="4"/>
  <c r="J781" i="4"/>
  <c r="K781" i="4"/>
  <c r="L781" i="4"/>
  <c r="B782" i="4"/>
  <c r="C782" i="4"/>
  <c r="D782" i="4"/>
  <c r="E782" i="4"/>
  <c r="F782" i="4"/>
  <c r="G782" i="4"/>
  <c r="H782" i="4"/>
  <c r="I782" i="4"/>
  <c r="J782" i="4"/>
  <c r="K782" i="4"/>
  <c r="L782" i="4"/>
  <c r="B783" i="4"/>
  <c r="C783" i="4"/>
  <c r="D783" i="4"/>
  <c r="E783" i="4"/>
  <c r="F783" i="4"/>
  <c r="G783" i="4"/>
  <c r="H783" i="4"/>
  <c r="I783" i="4"/>
  <c r="J783" i="4"/>
  <c r="K783" i="4"/>
  <c r="L783" i="4"/>
  <c r="B784" i="4"/>
  <c r="C784" i="4"/>
  <c r="D784" i="4"/>
  <c r="E784" i="4"/>
  <c r="F784" i="4"/>
  <c r="G784" i="4"/>
  <c r="H784" i="4"/>
  <c r="I784" i="4"/>
  <c r="J784" i="4"/>
  <c r="K784" i="4"/>
  <c r="L784" i="4"/>
  <c r="B785" i="4"/>
  <c r="C785" i="4"/>
  <c r="D785" i="4"/>
  <c r="E785" i="4"/>
  <c r="F785" i="4"/>
  <c r="G785" i="4"/>
  <c r="H785" i="4"/>
  <c r="I785" i="4"/>
  <c r="J785" i="4"/>
  <c r="K785" i="4"/>
  <c r="L785" i="4"/>
  <c r="B786" i="4"/>
  <c r="C786" i="4"/>
  <c r="D786" i="4"/>
  <c r="E786" i="4"/>
  <c r="F786" i="4"/>
  <c r="G786" i="4"/>
  <c r="H786" i="4"/>
  <c r="I786" i="4"/>
  <c r="J786" i="4"/>
  <c r="K786" i="4"/>
  <c r="L786" i="4"/>
  <c r="B787" i="4"/>
  <c r="C787" i="4"/>
  <c r="D787" i="4"/>
  <c r="E787" i="4"/>
  <c r="F787" i="4"/>
  <c r="G787" i="4"/>
  <c r="H787" i="4"/>
  <c r="I787" i="4"/>
  <c r="J787" i="4"/>
  <c r="K787" i="4"/>
  <c r="L787" i="4"/>
  <c r="B788" i="4"/>
  <c r="C788" i="4"/>
  <c r="D788" i="4"/>
  <c r="E788" i="4"/>
  <c r="F788" i="4"/>
  <c r="G788" i="4"/>
  <c r="H788" i="4"/>
  <c r="I788" i="4"/>
  <c r="J788" i="4"/>
  <c r="K788" i="4"/>
  <c r="L788" i="4"/>
  <c r="B789" i="4"/>
  <c r="C789" i="4"/>
  <c r="D789" i="4"/>
  <c r="E789" i="4"/>
  <c r="F789" i="4"/>
  <c r="G789" i="4"/>
  <c r="H789" i="4"/>
  <c r="I789" i="4"/>
  <c r="J789" i="4"/>
  <c r="K789" i="4"/>
  <c r="L789" i="4"/>
  <c r="B790" i="4"/>
  <c r="C790" i="4"/>
  <c r="D790" i="4"/>
  <c r="E790" i="4"/>
  <c r="F790" i="4"/>
  <c r="G790" i="4"/>
  <c r="H790" i="4"/>
  <c r="I790" i="4"/>
  <c r="J790" i="4"/>
  <c r="K790" i="4"/>
  <c r="L790" i="4"/>
  <c r="B791" i="4"/>
  <c r="C791" i="4"/>
  <c r="D791" i="4"/>
  <c r="E791" i="4"/>
  <c r="F791" i="4"/>
  <c r="G791" i="4"/>
  <c r="H791" i="4"/>
  <c r="I791" i="4"/>
  <c r="J791" i="4"/>
  <c r="K791" i="4"/>
  <c r="L791" i="4"/>
  <c r="B792" i="4"/>
  <c r="C792" i="4"/>
  <c r="D792" i="4"/>
  <c r="E792" i="4"/>
  <c r="F792" i="4"/>
  <c r="G792" i="4"/>
  <c r="H792" i="4"/>
  <c r="I792" i="4"/>
  <c r="J792" i="4"/>
  <c r="K792" i="4"/>
  <c r="L792" i="4"/>
  <c r="B793" i="4"/>
  <c r="C793" i="4"/>
  <c r="D793" i="4"/>
  <c r="E793" i="4"/>
  <c r="F793" i="4"/>
  <c r="G793" i="4"/>
  <c r="H793" i="4"/>
  <c r="I793" i="4"/>
  <c r="J793" i="4"/>
  <c r="K793" i="4"/>
  <c r="L793" i="4"/>
  <c r="B794" i="4"/>
  <c r="C794" i="4"/>
  <c r="D794" i="4"/>
  <c r="E794" i="4"/>
  <c r="F794" i="4"/>
  <c r="G794" i="4"/>
  <c r="H794" i="4"/>
  <c r="I794" i="4"/>
  <c r="J794" i="4"/>
  <c r="K794" i="4"/>
  <c r="L794" i="4"/>
  <c r="B795" i="4"/>
  <c r="C795" i="4"/>
  <c r="D795" i="4"/>
  <c r="E795" i="4"/>
  <c r="F795" i="4"/>
  <c r="G795" i="4"/>
  <c r="H795" i="4"/>
  <c r="I795" i="4"/>
  <c r="J795" i="4"/>
  <c r="K795" i="4"/>
  <c r="L795" i="4"/>
  <c r="B796" i="4"/>
  <c r="C796" i="4"/>
  <c r="D796" i="4"/>
  <c r="E796" i="4"/>
  <c r="F796" i="4"/>
  <c r="G796" i="4"/>
  <c r="H796" i="4"/>
  <c r="I796" i="4"/>
  <c r="J796" i="4"/>
  <c r="K796" i="4"/>
  <c r="L796" i="4"/>
  <c r="B797" i="4"/>
  <c r="C797" i="4"/>
  <c r="D797" i="4"/>
  <c r="E797" i="4"/>
  <c r="F797" i="4"/>
  <c r="G797" i="4"/>
  <c r="H797" i="4"/>
  <c r="I797" i="4"/>
  <c r="J797" i="4"/>
  <c r="K797" i="4"/>
  <c r="L797" i="4"/>
  <c r="B798" i="4"/>
  <c r="C798" i="4"/>
  <c r="D798" i="4"/>
  <c r="E798" i="4"/>
  <c r="F798" i="4"/>
  <c r="G798" i="4"/>
  <c r="H798" i="4"/>
  <c r="I798" i="4"/>
  <c r="J798" i="4"/>
  <c r="K798" i="4"/>
  <c r="L798" i="4"/>
  <c r="B799" i="4"/>
  <c r="C799" i="4"/>
  <c r="D799" i="4"/>
  <c r="E799" i="4"/>
  <c r="F799" i="4"/>
  <c r="G799" i="4"/>
  <c r="H799" i="4"/>
  <c r="I799" i="4"/>
  <c r="J799" i="4"/>
  <c r="K799" i="4"/>
  <c r="L799" i="4"/>
  <c r="B800" i="4"/>
  <c r="C800" i="4"/>
  <c r="D800" i="4"/>
  <c r="E800" i="4"/>
  <c r="F800" i="4"/>
  <c r="G800" i="4"/>
  <c r="H800" i="4"/>
  <c r="I800" i="4"/>
  <c r="J800" i="4"/>
  <c r="K800" i="4"/>
  <c r="L800" i="4"/>
  <c r="B801" i="4"/>
  <c r="C801" i="4"/>
  <c r="D801" i="4"/>
  <c r="E801" i="4"/>
  <c r="F801" i="4"/>
  <c r="G801" i="4"/>
  <c r="H801" i="4"/>
  <c r="I801" i="4"/>
  <c r="J801" i="4"/>
  <c r="K801" i="4"/>
  <c r="L801" i="4"/>
  <c r="B802" i="4"/>
  <c r="C802" i="4"/>
  <c r="D802" i="4"/>
  <c r="E802" i="4"/>
  <c r="F802" i="4"/>
  <c r="G802" i="4"/>
  <c r="H802" i="4"/>
  <c r="I802" i="4"/>
  <c r="J802" i="4"/>
  <c r="K802" i="4"/>
  <c r="L802" i="4"/>
  <c r="B803" i="4"/>
  <c r="C803" i="4"/>
  <c r="D803" i="4"/>
  <c r="E803" i="4"/>
  <c r="F803" i="4"/>
  <c r="G803" i="4"/>
  <c r="H803" i="4"/>
  <c r="I803" i="4"/>
  <c r="J803" i="4"/>
  <c r="K803" i="4"/>
  <c r="L803" i="4"/>
  <c r="B804" i="4"/>
  <c r="C804" i="4"/>
  <c r="D804" i="4"/>
  <c r="E804" i="4"/>
  <c r="F804" i="4"/>
  <c r="G804" i="4"/>
  <c r="H804" i="4"/>
  <c r="I804" i="4"/>
  <c r="J804" i="4"/>
  <c r="K804" i="4"/>
  <c r="L804" i="4"/>
  <c r="B805" i="4"/>
  <c r="C805" i="4"/>
  <c r="D805" i="4"/>
  <c r="E805" i="4"/>
  <c r="F805" i="4"/>
  <c r="G805" i="4"/>
  <c r="H805" i="4"/>
  <c r="I805" i="4"/>
  <c r="J805" i="4"/>
  <c r="K805" i="4"/>
  <c r="L805" i="4"/>
  <c r="B806" i="4"/>
  <c r="C806" i="4"/>
  <c r="D806" i="4"/>
  <c r="E806" i="4"/>
  <c r="F806" i="4"/>
  <c r="G806" i="4"/>
  <c r="H806" i="4"/>
  <c r="I806" i="4"/>
  <c r="J806" i="4"/>
  <c r="K806" i="4"/>
  <c r="L806" i="4"/>
  <c r="B807" i="4"/>
  <c r="C807" i="4"/>
  <c r="D807" i="4"/>
  <c r="E807" i="4"/>
  <c r="F807" i="4"/>
  <c r="G807" i="4"/>
  <c r="H807" i="4"/>
  <c r="I807" i="4"/>
  <c r="J807" i="4"/>
  <c r="K807" i="4"/>
  <c r="L807" i="4"/>
  <c r="B808" i="4"/>
  <c r="C808" i="4"/>
  <c r="D808" i="4"/>
  <c r="E808" i="4"/>
  <c r="F808" i="4"/>
  <c r="G808" i="4"/>
  <c r="H808" i="4"/>
  <c r="I808" i="4"/>
  <c r="J808" i="4"/>
  <c r="K808" i="4"/>
  <c r="L808" i="4"/>
  <c r="B809" i="4"/>
  <c r="C809" i="4"/>
  <c r="D809" i="4"/>
  <c r="E809" i="4"/>
  <c r="F809" i="4"/>
  <c r="G809" i="4"/>
  <c r="H809" i="4"/>
  <c r="I809" i="4"/>
  <c r="J809" i="4"/>
  <c r="K809" i="4"/>
  <c r="L809" i="4"/>
  <c r="B810" i="4"/>
  <c r="C810" i="4"/>
  <c r="D810" i="4"/>
  <c r="E810" i="4"/>
  <c r="F810" i="4"/>
  <c r="G810" i="4"/>
  <c r="H810" i="4"/>
  <c r="I810" i="4"/>
  <c r="J810" i="4"/>
  <c r="K810" i="4"/>
  <c r="L810" i="4"/>
  <c r="B811" i="4"/>
  <c r="C811" i="4"/>
  <c r="D811" i="4"/>
  <c r="E811" i="4"/>
  <c r="F811" i="4"/>
  <c r="G811" i="4"/>
  <c r="H811" i="4"/>
  <c r="I811" i="4"/>
  <c r="J811" i="4"/>
  <c r="K811" i="4"/>
  <c r="L811" i="4"/>
  <c r="B812" i="4"/>
  <c r="C812" i="4"/>
  <c r="D812" i="4"/>
  <c r="E812" i="4"/>
  <c r="F812" i="4"/>
  <c r="G812" i="4"/>
  <c r="H812" i="4"/>
  <c r="I812" i="4"/>
  <c r="J812" i="4"/>
  <c r="K812" i="4"/>
  <c r="L812" i="4"/>
  <c r="B813" i="4"/>
  <c r="C813" i="4"/>
  <c r="D813" i="4"/>
  <c r="E813" i="4"/>
  <c r="F813" i="4"/>
  <c r="G813" i="4"/>
  <c r="H813" i="4"/>
  <c r="I813" i="4"/>
  <c r="J813" i="4"/>
  <c r="K813" i="4"/>
  <c r="L813" i="4"/>
  <c r="B814" i="4"/>
  <c r="C814" i="4"/>
  <c r="D814" i="4"/>
  <c r="E814" i="4"/>
  <c r="F814" i="4"/>
  <c r="G814" i="4"/>
  <c r="H814" i="4"/>
  <c r="I814" i="4"/>
  <c r="J814" i="4"/>
  <c r="K814" i="4"/>
  <c r="L814" i="4"/>
  <c r="B815" i="4"/>
  <c r="C815" i="4"/>
  <c r="D815" i="4"/>
  <c r="E815" i="4"/>
  <c r="F815" i="4"/>
  <c r="G815" i="4"/>
  <c r="H815" i="4"/>
  <c r="I815" i="4"/>
  <c r="J815" i="4"/>
  <c r="K815" i="4"/>
  <c r="L815" i="4"/>
  <c r="B816" i="4"/>
  <c r="C816" i="4"/>
  <c r="D816" i="4"/>
  <c r="E816" i="4"/>
  <c r="F816" i="4"/>
  <c r="G816" i="4"/>
  <c r="H816" i="4"/>
  <c r="I816" i="4"/>
  <c r="J816" i="4"/>
  <c r="K816" i="4"/>
  <c r="L816" i="4"/>
  <c r="B817" i="4"/>
  <c r="C817" i="4"/>
  <c r="D817" i="4"/>
  <c r="E817" i="4"/>
  <c r="F817" i="4"/>
  <c r="G817" i="4"/>
  <c r="H817" i="4"/>
  <c r="I817" i="4"/>
  <c r="J817" i="4"/>
  <c r="K817" i="4"/>
  <c r="L817" i="4"/>
  <c r="B818" i="4"/>
  <c r="C818" i="4"/>
  <c r="D818" i="4"/>
  <c r="E818" i="4"/>
  <c r="F818" i="4"/>
  <c r="G818" i="4"/>
  <c r="H818" i="4"/>
  <c r="I818" i="4"/>
  <c r="J818" i="4"/>
  <c r="K818" i="4"/>
  <c r="L818" i="4"/>
  <c r="B819" i="4"/>
  <c r="C819" i="4"/>
  <c r="D819" i="4"/>
  <c r="E819" i="4"/>
  <c r="F819" i="4"/>
  <c r="G819" i="4"/>
  <c r="H819" i="4"/>
  <c r="I819" i="4"/>
  <c r="J819" i="4"/>
  <c r="K819" i="4"/>
  <c r="L819" i="4"/>
  <c r="B820" i="4"/>
  <c r="C820" i="4"/>
  <c r="D820" i="4"/>
  <c r="E820" i="4"/>
  <c r="F820" i="4"/>
  <c r="G820" i="4"/>
  <c r="H820" i="4"/>
  <c r="I820" i="4"/>
  <c r="J820" i="4"/>
  <c r="K820" i="4"/>
  <c r="L820" i="4"/>
  <c r="B821" i="4"/>
  <c r="C821" i="4"/>
  <c r="D821" i="4"/>
  <c r="E821" i="4"/>
  <c r="F821" i="4"/>
  <c r="G821" i="4"/>
  <c r="H821" i="4"/>
  <c r="I821" i="4"/>
  <c r="J821" i="4"/>
  <c r="K821" i="4"/>
  <c r="L821" i="4"/>
  <c r="B822" i="4"/>
  <c r="C822" i="4"/>
  <c r="D822" i="4"/>
  <c r="E822" i="4"/>
  <c r="F822" i="4"/>
  <c r="G822" i="4"/>
  <c r="H822" i="4"/>
  <c r="I822" i="4"/>
  <c r="J822" i="4"/>
  <c r="K822" i="4"/>
  <c r="L822" i="4"/>
  <c r="B823" i="4"/>
  <c r="C823" i="4"/>
  <c r="D823" i="4"/>
  <c r="E823" i="4"/>
  <c r="F823" i="4"/>
  <c r="G823" i="4"/>
  <c r="H823" i="4"/>
  <c r="I823" i="4"/>
  <c r="J823" i="4"/>
  <c r="K823" i="4"/>
  <c r="L823" i="4"/>
  <c r="B824" i="4"/>
  <c r="C824" i="4"/>
  <c r="D824" i="4"/>
  <c r="E824" i="4"/>
  <c r="F824" i="4"/>
  <c r="G824" i="4"/>
  <c r="H824" i="4"/>
  <c r="I824" i="4"/>
  <c r="J824" i="4"/>
  <c r="K824" i="4"/>
  <c r="L824" i="4"/>
  <c r="B825" i="4"/>
  <c r="C825" i="4"/>
  <c r="D825" i="4"/>
  <c r="E825" i="4"/>
  <c r="F825" i="4"/>
  <c r="G825" i="4"/>
  <c r="H825" i="4"/>
  <c r="I825" i="4"/>
  <c r="J825" i="4"/>
  <c r="K825" i="4"/>
  <c r="L825" i="4"/>
  <c r="B826" i="4"/>
  <c r="C826" i="4"/>
  <c r="D826" i="4"/>
  <c r="E826" i="4"/>
  <c r="F826" i="4"/>
  <c r="G826" i="4"/>
  <c r="H826" i="4"/>
  <c r="I826" i="4"/>
  <c r="J826" i="4"/>
  <c r="K826" i="4"/>
  <c r="L826" i="4"/>
  <c r="B827" i="4"/>
  <c r="C827" i="4"/>
  <c r="D827" i="4"/>
  <c r="E827" i="4"/>
  <c r="F827" i="4"/>
  <c r="G827" i="4"/>
  <c r="H827" i="4"/>
  <c r="I827" i="4"/>
  <c r="J827" i="4"/>
  <c r="K827" i="4"/>
  <c r="L827" i="4"/>
  <c r="B828" i="4"/>
  <c r="C828" i="4"/>
  <c r="D828" i="4"/>
  <c r="E828" i="4"/>
  <c r="F828" i="4"/>
  <c r="G828" i="4"/>
  <c r="H828" i="4"/>
  <c r="I828" i="4"/>
  <c r="J828" i="4"/>
  <c r="K828" i="4"/>
  <c r="L828" i="4"/>
  <c r="B829" i="4"/>
  <c r="C829" i="4"/>
  <c r="D829" i="4"/>
  <c r="E829" i="4"/>
  <c r="F829" i="4"/>
  <c r="G829" i="4"/>
  <c r="H829" i="4"/>
  <c r="I829" i="4"/>
  <c r="J829" i="4"/>
  <c r="K829" i="4"/>
  <c r="L829" i="4"/>
  <c r="B830" i="4"/>
  <c r="C830" i="4"/>
  <c r="D830" i="4"/>
  <c r="E830" i="4"/>
  <c r="F830" i="4"/>
  <c r="G830" i="4"/>
  <c r="H830" i="4"/>
  <c r="I830" i="4"/>
  <c r="J830" i="4"/>
  <c r="K830" i="4"/>
  <c r="L830" i="4"/>
  <c r="B831" i="4"/>
  <c r="C831" i="4"/>
  <c r="D831" i="4"/>
  <c r="E831" i="4"/>
  <c r="F831" i="4"/>
  <c r="G831" i="4"/>
  <c r="H831" i="4"/>
  <c r="I831" i="4"/>
  <c r="J831" i="4"/>
  <c r="K831" i="4"/>
  <c r="L831" i="4"/>
  <c r="B832" i="4"/>
  <c r="C832" i="4"/>
  <c r="D832" i="4"/>
  <c r="E832" i="4"/>
  <c r="F832" i="4"/>
  <c r="G832" i="4"/>
  <c r="H832" i="4"/>
  <c r="I832" i="4"/>
  <c r="J832" i="4"/>
  <c r="K832" i="4"/>
  <c r="L832" i="4"/>
  <c r="B833" i="4"/>
  <c r="C833" i="4"/>
  <c r="D833" i="4"/>
  <c r="E833" i="4"/>
  <c r="F833" i="4"/>
  <c r="G833" i="4"/>
  <c r="H833" i="4"/>
  <c r="I833" i="4"/>
  <c r="J833" i="4"/>
  <c r="K833" i="4"/>
  <c r="L833" i="4"/>
  <c r="B834" i="4"/>
  <c r="C834" i="4"/>
  <c r="D834" i="4"/>
  <c r="E834" i="4"/>
  <c r="F834" i="4"/>
  <c r="G834" i="4"/>
  <c r="H834" i="4"/>
  <c r="I834" i="4"/>
  <c r="J834" i="4"/>
  <c r="K834" i="4"/>
  <c r="L834" i="4"/>
  <c r="B835" i="4"/>
  <c r="C835" i="4"/>
  <c r="D835" i="4"/>
  <c r="E835" i="4"/>
  <c r="F835" i="4"/>
  <c r="G835" i="4"/>
  <c r="H835" i="4"/>
  <c r="I835" i="4"/>
  <c r="J835" i="4"/>
  <c r="K835" i="4"/>
  <c r="L835" i="4"/>
  <c r="B836" i="4"/>
  <c r="C836" i="4"/>
  <c r="D836" i="4"/>
  <c r="E836" i="4"/>
  <c r="F836" i="4"/>
  <c r="G836" i="4"/>
  <c r="H836" i="4"/>
  <c r="I836" i="4"/>
  <c r="J836" i="4"/>
  <c r="K836" i="4"/>
  <c r="L836" i="4"/>
  <c r="B837" i="4"/>
  <c r="C837" i="4"/>
  <c r="D837" i="4"/>
  <c r="E837" i="4"/>
  <c r="F837" i="4"/>
  <c r="G837" i="4"/>
  <c r="H837" i="4"/>
  <c r="I837" i="4"/>
  <c r="J837" i="4"/>
  <c r="K837" i="4"/>
  <c r="L837" i="4"/>
  <c r="B838" i="4"/>
  <c r="C838" i="4"/>
  <c r="D838" i="4"/>
  <c r="E838" i="4"/>
  <c r="F838" i="4"/>
  <c r="G838" i="4"/>
  <c r="H838" i="4"/>
  <c r="I838" i="4"/>
  <c r="J838" i="4"/>
  <c r="K838" i="4"/>
  <c r="L838" i="4"/>
  <c r="B839" i="4"/>
  <c r="C839" i="4"/>
  <c r="D839" i="4"/>
  <c r="E839" i="4"/>
  <c r="F839" i="4"/>
  <c r="G839" i="4"/>
  <c r="H839" i="4"/>
  <c r="I839" i="4"/>
  <c r="J839" i="4"/>
  <c r="K839" i="4"/>
  <c r="L839" i="4"/>
  <c r="B840" i="4"/>
  <c r="C840" i="4"/>
  <c r="D840" i="4"/>
  <c r="E840" i="4"/>
  <c r="F840" i="4"/>
  <c r="G840" i="4"/>
  <c r="H840" i="4"/>
  <c r="I840" i="4"/>
  <c r="J840" i="4"/>
  <c r="K840" i="4"/>
  <c r="L840" i="4"/>
  <c r="B841" i="4"/>
  <c r="C841" i="4"/>
  <c r="D841" i="4"/>
  <c r="E841" i="4"/>
  <c r="F841" i="4"/>
  <c r="G841" i="4"/>
  <c r="H841" i="4"/>
  <c r="I841" i="4"/>
  <c r="J841" i="4"/>
  <c r="K841" i="4"/>
  <c r="L841" i="4"/>
  <c r="B842" i="4"/>
  <c r="C842" i="4"/>
  <c r="D842" i="4"/>
  <c r="E842" i="4"/>
  <c r="F842" i="4"/>
  <c r="G842" i="4"/>
  <c r="H842" i="4"/>
  <c r="I842" i="4"/>
  <c r="J842" i="4"/>
  <c r="K842" i="4"/>
  <c r="L842" i="4"/>
  <c r="B843" i="4"/>
  <c r="C843" i="4"/>
  <c r="D843" i="4"/>
  <c r="E843" i="4"/>
  <c r="F843" i="4"/>
  <c r="G843" i="4"/>
  <c r="H843" i="4"/>
  <c r="I843" i="4"/>
  <c r="J843" i="4"/>
  <c r="K843" i="4"/>
  <c r="L843" i="4"/>
  <c r="B844" i="4"/>
  <c r="C844" i="4"/>
  <c r="D844" i="4"/>
  <c r="E844" i="4"/>
  <c r="F844" i="4"/>
  <c r="G844" i="4"/>
  <c r="H844" i="4"/>
  <c r="I844" i="4"/>
  <c r="J844" i="4"/>
  <c r="K844" i="4"/>
  <c r="L844" i="4"/>
  <c r="B845" i="4"/>
  <c r="C845" i="4"/>
  <c r="D845" i="4"/>
  <c r="E845" i="4"/>
  <c r="F845" i="4"/>
  <c r="G845" i="4"/>
  <c r="H845" i="4"/>
  <c r="I845" i="4"/>
  <c r="J845" i="4"/>
  <c r="K845" i="4"/>
  <c r="L845" i="4"/>
  <c r="B846" i="4"/>
  <c r="C846" i="4"/>
  <c r="D846" i="4"/>
  <c r="E846" i="4"/>
  <c r="F846" i="4"/>
  <c r="G846" i="4"/>
  <c r="H846" i="4"/>
  <c r="I846" i="4"/>
  <c r="J846" i="4"/>
  <c r="K846" i="4"/>
  <c r="L846" i="4"/>
  <c r="B847" i="4"/>
  <c r="C847" i="4"/>
  <c r="D847" i="4"/>
  <c r="E847" i="4"/>
  <c r="F847" i="4"/>
  <c r="G847" i="4"/>
  <c r="H847" i="4"/>
  <c r="I847" i="4"/>
  <c r="J847" i="4"/>
  <c r="K847" i="4"/>
  <c r="L847" i="4"/>
  <c r="B848" i="4"/>
  <c r="C848" i="4"/>
  <c r="D848" i="4"/>
  <c r="E848" i="4"/>
  <c r="F848" i="4"/>
  <c r="G848" i="4"/>
  <c r="H848" i="4"/>
  <c r="I848" i="4"/>
  <c r="J848" i="4"/>
  <c r="K848" i="4"/>
  <c r="L848" i="4"/>
  <c r="B849" i="4"/>
  <c r="C849" i="4"/>
  <c r="D849" i="4"/>
  <c r="E849" i="4"/>
  <c r="F849" i="4"/>
  <c r="G849" i="4"/>
  <c r="H849" i="4"/>
  <c r="I849" i="4"/>
  <c r="J849" i="4"/>
  <c r="K849" i="4"/>
  <c r="L849" i="4"/>
  <c r="B850" i="4"/>
  <c r="C850" i="4"/>
  <c r="D850" i="4"/>
  <c r="E850" i="4"/>
  <c r="F850" i="4"/>
  <c r="G850" i="4"/>
  <c r="H850" i="4"/>
  <c r="I850" i="4"/>
  <c r="J850" i="4"/>
  <c r="K850" i="4"/>
  <c r="L850" i="4"/>
  <c r="B851" i="4"/>
  <c r="C851" i="4"/>
  <c r="D851" i="4"/>
  <c r="E851" i="4"/>
  <c r="F851" i="4"/>
  <c r="G851" i="4"/>
  <c r="H851" i="4"/>
  <c r="I851" i="4"/>
  <c r="J851" i="4"/>
  <c r="K851" i="4"/>
  <c r="L851" i="4"/>
  <c r="B852" i="4"/>
  <c r="C852" i="4"/>
  <c r="D852" i="4"/>
  <c r="E852" i="4"/>
  <c r="F852" i="4"/>
  <c r="G852" i="4"/>
  <c r="H852" i="4"/>
  <c r="I852" i="4"/>
  <c r="J852" i="4"/>
  <c r="K852" i="4"/>
  <c r="L852" i="4"/>
  <c r="B853" i="4"/>
  <c r="C853" i="4"/>
  <c r="D853" i="4"/>
  <c r="E853" i="4"/>
  <c r="F853" i="4"/>
  <c r="G853" i="4"/>
  <c r="H853" i="4"/>
  <c r="I853" i="4"/>
  <c r="J853" i="4"/>
  <c r="K853" i="4"/>
  <c r="L853" i="4"/>
  <c r="B854" i="4"/>
  <c r="C854" i="4"/>
  <c r="D854" i="4"/>
  <c r="E854" i="4"/>
  <c r="F854" i="4"/>
  <c r="G854" i="4"/>
  <c r="H854" i="4"/>
  <c r="I854" i="4"/>
  <c r="J854" i="4"/>
  <c r="K854" i="4"/>
  <c r="L854" i="4"/>
  <c r="B855" i="4"/>
  <c r="C855" i="4"/>
  <c r="D855" i="4"/>
  <c r="E855" i="4"/>
  <c r="F855" i="4"/>
  <c r="G855" i="4"/>
  <c r="H855" i="4"/>
  <c r="I855" i="4"/>
  <c r="J855" i="4"/>
  <c r="K855" i="4"/>
  <c r="L855" i="4"/>
  <c r="B856" i="4"/>
  <c r="C856" i="4"/>
  <c r="D856" i="4"/>
  <c r="E856" i="4"/>
  <c r="F856" i="4"/>
  <c r="G856" i="4"/>
  <c r="H856" i="4"/>
  <c r="I856" i="4"/>
  <c r="J856" i="4"/>
  <c r="K856" i="4"/>
  <c r="L856" i="4"/>
  <c r="B857" i="4"/>
  <c r="C857" i="4"/>
  <c r="D857" i="4"/>
  <c r="E857" i="4"/>
  <c r="F857" i="4"/>
  <c r="G857" i="4"/>
  <c r="H857" i="4"/>
  <c r="I857" i="4"/>
  <c r="J857" i="4"/>
  <c r="K857" i="4"/>
  <c r="L857" i="4"/>
  <c r="B858" i="4"/>
  <c r="C858" i="4"/>
  <c r="D858" i="4"/>
  <c r="E858" i="4"/>
  <c r="F858" i="4"/>
  <c r="G858" i="4"/>
  <c r="H858" i="4"/>
  <c r="I858" i="4"/>
  <c r="J858" i="4"/>
  <c r="K858" i="4"/>
  <c r="L858" i="4"/>
  <c r="B859" i="4"/>
  <c r="C859" i="4"/>
  <c r="D859" i="4"/>
  <c r="E859" i="4"/>
  <c r="F859" i="4"/>
  <c r="G859" i="4"/>
  <c r="H859" i="4"/>
  <c r="I859" i="4"/>
  <c r="J859" i="4"/>
  <c r="K859" i="4"/>
  <c r="L859" i="4"/>
  <c r="B860" i="4"/>
  <c r="C860" i="4"/>
  <c r="D860" i="4"/>
  <c r="E860" i="4"/>
  <c r="F860" i="4"/>
  <c r="G860" i="4"/>
  <c r="H860" i="4"/>
  <c r="I860" i="4"/>
  <c r="J860" i="4"/>
  <c r="K860" i="4"/>
  <c r="L860" i="4"/>
  <c r="B861" i="4"/>
  <c r="C861" i="4"/>
  <c r="D861" i="4"/>
  <c r="E861" i="4"/>
  <c r="F861" i="4"/>
  <c r="G861" i="4"/>
  <c r="H861" i="4"/>
  <c r="I861" i="4"/>
  <c r="J861" i="4"/>
  <c r="K861" i="4"/>
  <c r="L861" i="4"/>
  <c r="B862" i="4"/>
  <c r="C862" i="4"/>
  <c r="D862" i="4"/>
  <c r="E862" i="4"/>
  <c r="F862" i="4"/>
  <c r="G862" i="4"/>
  <c r="H862" i="4"/>
  <c r="I862" i="4"/>
  <c r="J862" i="4"/>
  <c r="K862" i="4"/>
  <c r="L862" i="4"/>
  <c r="B863" i="4"/>
  <c r="C863" i="4"/>
  <c r="D863" i="4"/>
  <c r="E863" i="4"/>
  <c r="F863" i="4"/>
  <c r="G863" i="4"/>
  <c r="H863" i="4"/>
  <c r="I863" i="4"/>
  <c r="J863" i="4"/>
  <c r="K863" i="4"/>
  <c r="L863" i="4"/>
  <c r="B864" i="4"/>
  <c r="C864" i="4"/>
  <c r="D864" i="4"/>
  <c r="E864" i="4"/>
  <c r="F864" i="4"/>
  <c r="G864" i="4"/>
  <c r="H864" i="4"/>
  <c r="I864" i="4"/>
  <c r="J864" i="4"/>
  <c r="K864" i="4"/>
  <c r="L864" i="4"/>
  <c r="B865" i="4"/>
  <c r="C865" i="4"/>
  <c r="D865" i="4"/>
  <c r="E865" i="4"/>
  <c r="F865" i="4"/>
  <c r="G865" i="4"/>
  <c r="H865" i="4"/>
  <c r="I865" i="4"/>
  <c r="J865" i="4"/>
  <c r="K865" i="4"/>
  <c r="L865" i="4"/>
  <c r="B866" i="4"/>
  <c r="C866" i="4"/>
  <c r="D866" i="4"/>
  <c r="E866" i="4"/>
  <c r="F866" i="4"/>
  <c r="G866" i="4"/>
  <c r="H866" i="4"/>
  <c r="I866" i="4"/>
  <c r="J866" i="4"/>
  <c r="K866" i="4"/>
  <c r="L866" i="4"/>
  <c r="B867" i="4"/>
  <c r="C867" i="4"/>
  <c r="D867" i="4"/>
  <c r="E867" i="4"/>
  <c r="F867" i="4"/>
  <c r="G867" i="4"/>
  <c r="H867" i="4"/>
  <c r="I867" i="4"/>
  <c r="J867" i="4"/>
  <c r="K867" i="4"/>
  <c r="L867" i="4"/>
  <c r="B868" i="4"/>
  <c r="C868" i="4"/>
  <c r="D868" i="4"/>
  <c r="E868" i="4"/>
  <c r="F868" i="4"/>
  <c r="G868" i="4"/>
  <c r="H868" i="4"/>
  <c r="I868" i="4"/>
  <c r="J868" i="4"/>
  <c r="K868" i="4"/>
  <c r="L868" i="4"/>
  <c r="B869" i="4"/>
  <c r="C869" i="4"/>
  <c r="D869" i="4"/>
  <c r="E869" i="4"/>
  <c r="F869" i="4"/>
  <c r="G869" i="4"/>
  <c r="H869" i="4"/>
  <c r="I869" i="4"/>
  <c r="J869" i="4"/>
  <c r="K869" i="4"/>
  <c r="L869" i="4"/>
  <c r="B870" i="4"/>
  <c r="C870" i="4"/>
  <c r="D870" i="4"/>
  <c r="E870" i="4"/>
  <c r="F870" i="4"/>
  <c r="G870" i="4"/>
  <c r="H870" i="4"/>
  <c r="I870" i="4"/>
  <c r="J870" i="4"/>
  <c r="K870" i="4"/>
  <c r="L870" i="4"/>
  <c r="B871" i="4"/>
  <c r="C871" i="4"/>
  <c r="D871" i="4"/>
  <c r="E871" i="4"/>
  <c r="F871" i="4"/>
  <c r="G871" i="4"/>
  <c r="H871" i="4"/>
  <c r="I871" i="4"/>
  <c r="J871" i="4"/>
  <c r="K871" i="4"/>
  <c r="L871" i="4"/>
  <c r="B872" i="4"/>
  <c r="C872" i="4"/>
  <c r="D872" i="4"/>
  <c r="E872" i="4"/>
  <c r="F872" i="4"/>
  <c r="G872" i="4"/>
  <c r="H872" i="4"/>
  <c r="I872" i="4"/>
  <c r="J872" i="4"/>
  <c r="K872" i="4"/>
  <c r="L872" i="4"/>
  <c r="B873" i="4"/>
  <c r="C873" i="4"/>
  <c r="D873" i="4"/>
  <c r="E873" i="4"/>
  <c r="F873" i="4"/>
  <c r="G873" i="4"/>
  <c r="H873" i="4"/>
  <c r="I873" i="4"/>
  <c r="J873" i="4"/>
  <c r="K873" i="4"/>
  <c r="L873" i="4"/>
  <c r="B874" i="4"/>
  <c r="C874" i="4"/>
  <c r="D874" i="4"/>
  <c r="E874" i="4"/>
  <c r="F874" i="4"/>
  <c r="G874" i="4"/>
  <c r="H874" i="4"/>
  <c r="I874" i="4"/>
  <c r="J874" i="4"/>
  <c r="K874" i="4"/>
  <c r="L874" i="4"/>
  <c r="B875" i="4"/>
  <c r="C875" i="4"/>
  <c r="D875" i="4"/>
  <c r="E875" i="4"/>
  <c r="F875" i="4"/>
  <c r="G875" i="4"/>
  <c r="H875" i="4"/>
  <c r="I875" i="4"/>
  <c r="J875" i="4"/>
  <c r="K875" i="4"/>
  <c r="L875" i="4"/>
  <c r="B876" i="4"/>
  <c r="C876" i="4"/>
  <c r="D876" i="4"/>
  <c r="E876" i="4"/>
  <c r="F876" i="4"/>
  <c r="G876" i="4"/>
  <c r="H876" i="4"/>
  <c r="I876" i="4"/>
  <c r="J876" i="4"/>
  <c r="K876" i="4"/>
  <c r="L876" i="4"/>
  <c r="B877" i="4"/>
  <c r="C877" i="4"/>
  <c r="D877" i="4"/>
  <c r="E877" i="4"/>
  <c r="F877" i="4"/>
  <c r="G877" i="4"/>
  <c r="H877" i="4"/>
  <c r="I877" i="4"/>
  <c r="J877" i="4"/>
  <c r="K877" i="4"/>
  <c r="L877" i="4"/>
  <c r="B878" i="4"/>
  <c r="C878" i="4"/>
  <c r="D878" i="4"/>
  <c r="E878" i="4"/>
  <c r="F878" i="4"/>
  <c r="G878" i="4"/>
  <c r="H878" i="4"/>
  <c r="I878" i="4"/>
  <c r="J878" i="4"/>
  <c r="K878" i="4"/>
  <c r="L878" i="4"/>
  <c r="B879" i="4"/>
  <c r="C879" i="4"/>
  <c r="D879" i="4"/>
  <c r="E879" i="4"/>
  <c r="F879" i="4"/>
  <c r="G879" i="4"/>
  <c r="H879" i="4"/>
  <c r="I879" i="4"/>
  <c r="J879" i="4"/>
  <c r="K879" i="4"/>
  <c r="L879" i="4"/>
  <c r="B880" i="4"/>
  <c r="C880" i="4"/>
  <c r="D880" i="4"/>
  <c r="E880" i="4"/>
  <c r="F880" i="4"/>
  <c r="G880" i="4"/>
  <c r="H880" i="4"/>
  <c r="I880" i="4"/>
  <c r="J880" i="4"/>
  <c r="K880" i="4"/>
  <c r="L880" i="4"/>
  <c r="B881" i="4"/>
  <c r="C881" i="4"/>
  <c r="D881" i="4"/>
  <c r="E881" i="4"/>
  <c r="F881" i="4"/>
  <c r="G881" i="4"/>
  <c r="H881" i="4"/>
  <c r="I881" i="4"/>
  <c r="J881" i="4"/>
  <c r="K881" i="4"/>
  <c r="L881" i="4"/>
  <c r="B882" i="4"/>
  <c r="C882" i="4"/>
  <c r="D882" i="4"/>
  <c r="E882" i="4"/>
  <c r="F882" i="4"/>
  <c r="G882" i="4"/>
  <c r="H882" i="4"/>
  <c r="I882" i="4"/>
  <c r="J882" i="4"/>
  <c r="K882" i="4"/>
  <c r="L882" i="4"/>
  <c r="B883" i="4"/>
  <c r="C883" i="4"/>
  <c r="D883" i="4"/>
  <c r="E883" i="4"/>
  <c r="F883" i="4"/>
  <c r="G883" i="4"/>
  <c r="H883" i="4"/>
  <c r="I883" i="4"/>
  <c r="J883" i="4"/>
  <c r="K883" i="4"/>
  <c r="L883" i="4"/>
  <c r="B884" i="4"/>
  <c r="C884" i="4"/>
  <c r="D884" i="4"/>
  <c r="E884" i="4"/>
  <c r="F884" i="4"/>
  <c r="G884" i="4"/>
  <c r="H884" i="4"/>
  <c r="I884" i="4"/>
  <c r="J884" i="4"/>
  <c r="K884" i="4"/>
  <c r="L884" i="4"/>
  <c r="B885" i="4"/>
  <c r="C885" i="4"/>
  <c r="D885" i="4"/>
  <c r="E885" i="4"/>
  <c r="F885" i="4"/>
  <c r="G885" i="4"/>
  <c r="H885" i="4"/>
  <c r="I885" i="4"/>
  <c r="J885" i="4"/>
  <c r="K885" i="4"/>
  <c r="L885" i="4"/>
  <c r="B886" i="4"/>
  <c r="C886" i="4"/>
  <c r="D886" i="4"/>
  <c r="E886" i="4"/>
  <c r="F886" i="4"/>
  <c r="G886" i="4"/>
  <c r="H886" i="4"/>
  <c r="I886" i="4"/>
  <c r="J886" i="4"/>
  <c r="K886" i="4"/>
  <c r="L886" i="4"/>
  <c r="B887" i="4"/>
  <c r="C887" i="4"/>
  <c r="D887" i="4"/>
  <c r="E887" i="4"/>
  <c r="F887" i="4"/>
  <c r="G887" i="4"/>
  <c r="H887" i="4"/>
  <c r="I887" i="4"/>
  <c r="J887" i="4"/>
  <c r="K887" i="4"/>
  <c r="L887" i="4"/>
  <c r="B888" i="4"/>
  <c r="C888" i="4"/>
  <c r="D888" i="4"/>
  <c r="E888" i="4"/>
  <c r="F888" i="4"/>
  <c r="G888" i="4"/>
  <c r="H888" i="4"/>
  <c r="I888" i="4"/>
  <c r="J888" i="4"/>
  <c r="K888" i="4"/>
  <c r="L888" i="4"/>
  <c r="B889" i="4"/>
  <c r="C889" i="4"/>
  <c r="D889" i="4"/>
  <c r="E889" i="4"/>
  <c r="F889" i="4"/>
  <c r="G889" i="4"/>
  <c r="H889" i="4"/>
  <c r="I889" i="4"/>
  <c r="J889" i="4"/>
  <c r="K889" i="4"/>
  <c r="L889" i="4"/>
  <c r="B890" i="4"/>
  <c r="C890" i="4"/>
  <c r="D890" i="4"/>
  <c r="E890" i="4"/>
  <c r="F890" i="4"/>
  <c r="G890" i="4"/>
  <c r="H890" i="4"/>
  <c r="I890" i="4"/>
  <c r="J890" i="4"/>
  <c r="K890" i="4"/>
  <c r="L890" i="4"/>
  <c r="B891" i="4"/>
  <c r="C891" i="4"/>
  <c r="D891" i="4"/>
  <c r="E891" i="4"/>
  <c r="F891" i="4"/>
  <c r="G891" i="4"/>
  <c r="H891" i="4"/>
  <c r="I891" i="4"/>
  <c r="J891" i="4"/>
  <c r="K891" i="4"/>
  <c r="L891" i="4"/>
  <c r="B892" i="4"/>
  <c r="C892" i="4"/>
  <c r="D892" i="4"/>
  <c r="E892" i="4"/>
  <c r="F892" i="4"/>
  <c r="G892" i="4"/>
  <c r="H892" i="4"/>
  <c r="I892" i="4"/>
  <c r="J892" i="4"/>
  <c r="K892" i="4"/>
  <c r="L892" i="4"/>
  <c r="B893" i="4"/>
  <c r="C893" i="4"/>
  <c r="D893" i="4"/>
  <c r="E893" i="4"/>
  <c r="F893" i="4"/>
  <c r="G893" i="4"/>
  <c r="H893" i="4"/>
  <c r="I893" i="4"/>
  <c r="J893" i="4"/>
  <c r="K893" i="4"/>
  <c r="L893" i="4"/>
  <c r="B894" i="4"/>
  <c r="C894" i="4"/>
  <c r="D894" i="4"/>
  <c r="E894" i="4"/>
  <c r="F894" i="4"/>
  <c r="G894" i="4"/>
  <c r="H894" i="4"/>
  <c r="I894" i="4"/>
  <c r="J894" i="4"/>
  <c r="K894" i="4"/>
  <c r="L894" i="4"/>
  <c r="B895" i="4"/>
  <c r="C895" i="4"/>
  <c r="D895" i="4"/>
  <c r="E895" i="4"/>
  <c r="F895" i="4"/>
  <c r="G895" i="4"/>
  <c r="H895" i="4"/>
  <c r="I895" i="4"/>
  <c r="J895" i="4"/>
  <c r="K895" i="4"/>
  <c r="L895" i="4"/>
  <c r="B896" i="4"/>
  <c r="C896" i="4"/>
  <c r="D896" i="4"/>
  <c r="E896" i="4"/>
  <c r="F896" i="4"/>
  <c r="G896" i="4"/>
  <c r="H896" i="4"/>
  <c r="I896" i="4"/>
  <c r="J896" i="4"/>
  <c r="K896" i="4"/>
  <c r="L896" i="4"/>
  <c r="B897" i="4"/>
  <c r="C897" i="4"/>
  <c r="D897" i="4"/>
  <c r="E897" i="4"/>
  <c r="F897" i="4"/>
  <c r="G897" i="4"/>
  <c r="H897" i="4"/>
  <c r="I897" i="4"/>
  <c r="J897" i="4"/>
  <c r="K897" i="4"/>
  <c r="L897" i="4"/>
  <c r="B898" i="4"/>
  <c r="C898" i="4"/>
  <c r="D898" i="4"/>
  <c r="E898" i="4"/>
  <c r="F898" i="4"/>
  <c r="G898" i="4"/>
  <c r="H898" i="4"/>
  <c r="I898" i="4"/>
  <c r="J898" i="4"/>
  <c r="K898" i="4"/>
  <c r="L898" i="4"/>
  <c r="B899" i="4"/>
  <c r="C899" i="4"/>
  <c r="D899" i="4"/>
  <c r="E899" i="4"/>
  <c r="F899" i="4"/>
  <c r="G899" i="4"/>
  <c r="H899" i="4"/>
  <c r="I899" i="4"/>
  <c r="J899" i="4"/>
  <c r="K899" i="4"/>
  <c r="L899" i="4"/>
  <c r="B900" i="4"/>
  <c r="C900" i="4"/>
  <c r="D900" i="4"/>
  <c r="E900" i="4"/>
  <c r="F900" i="4"/>
  <c r="G900" i="4"/>
  <c r="H900" i="4"/>
  <c r="I900" i="4"/>
  <c r="J900" i="4"/>
  <c r="K900" i="4"/>
  <c r="L900" i="4"/>
  <c r="B901" i="4"/>
  <c r="C901" i="4"/>
  <c r="D901" i="4"/>
  <c r="E901" i="4"/>
  <c r="F901" i="4"/>
  <c r="G901" i="4"/>
  <c r="H901" i="4"/>
  <c r="I901" i="4"/>
  <c r="J901" i="4"/>
  <c r="K901" i="4"/>
  <c r="L901" i="4"/>
  <c r="B902" i="4"/>
  <c r="C902" i="4"/>
  <c r="D902" i="4"/>
  <c r="E902" i="4"/>
  <c r="F902" i="4"/>
  <c r="G902" i="4"/>
  <c r="H902" i="4"/>
  <c r="I902" i="4"/>
  <c r="J902" i="4"/>
  <c r="K902" i="4"/>
  <c r="L902" i="4"/>
  <c r="B903" i="4"/>
  <c r="C903" i="4"/>
  <c r="D903" i="4"/>
  <c r="E903" i="4"/>
  <c r="F903" i="4"/>
  <c r="G903" i="4"/>
  <c r="H903" i="4"/>
  <c r="I903" i="4"/>
  <c r="J903" i="4"/>
  <c r="K903" i="4"/>
  <c r="L903" i="4"/>
  <c r="B904" i="4"/>
  <c r="C904" i="4"/>
  <c r="D904" i="4"/>
  <c r="E904" i="4"/>
  <c r="F904" i="4"/>
  <c r="G904" i="4"/>
  <c r="H904" i="4"/>
  <c r="I904" i="4"/>
  <c r="J904" i="4"/>
  <c r="K904" i="4"/>
  <c r="L904" i="4"/>
  <c r="B905" i="4"/>
  <c r="C905" i="4"/>
  <c r="D905" i="4"/>
  <c r="E905" i="4"/>
  <c r="F905" i="4"/>
  <c r="G905" i="4"/>
  <c r="H905" i="4"/>
  <c r="I905" i="4"/>
  <c r="J905" i="4"/>
  <c r="K905" i="4"/>
  <c r="L905" i="4"/>
  <c r="B906" i="4"/>
  <c r="C906" i="4"/>
  <c r="D906" i="4"/>
  <c r="E906" i="4"/>
  <c r="F906" i="4"/>
  <c r="G906" i="4"/>
  <c r="H906" i="4"/>
  <c r="I906" i="4"/>
  <c r="J906" i="4"/>
  <c r="K906" i="4"/>
  <c r="L906" i="4"/>
  <c r="B907" i="4"/>
  <c r="C907" i="4"/>
  <c r="D907" i="4"/>
  <c r="E907" i="4"/>
  <c r="F907" i="4"/>
  <c r="G907" i="4"/>
  <c r="H907" i="4"/>
  <c r="I907" i="4"/>
  <c r="J907" i="4"/>
  <c r="K907" i="4"/>
  <c r="L907" i="4"/>
  <c r="B908" i="4"/>
  <c r="C908" i="4"/>
  <c r="D908" i="4"/>
  <c r="E908" i="4"/>
  <c r="F908" i="4"/>
  <c r="G908" i="4"/>
  <c r="H908" i="4"/>
  <c r="I908" i="4"/>
  <c r="J908" i="4"/>
  <c r="K908" i="4"/>
  <c r="L908" i="4"/>
  <c r="B909" i="4"/>
  <c r="C909" i="4"/>
  <c r="D909" i="4"/>
  <c r="E909" i="4"/>
  <c r="F909" i="4"/>
  <c r="G909" i="4"/>
  <c r="H909" i="4"/>
  <c r="I909" i="4"/>
  <c r="J909" i="4"/>
  <c r="K909" i="4"/>
  <c r="L909" i="4"/>
  <c r="B910" i="4"/>
  <c r="C910" i="4"/>
  <c r="D910" i="4"/>
  <c r="E910" i="4"/>
  <c r="F910" i="4"/>
  <c r="G910" i="4"/>
  <c r="H910" i="4"/>
  <c r="I910" i="4"/>
  <c r="J910" i="4"/>
  <c r="K910" i="4"/>
  <c r="L910" i="4"/>
  <c r="B911" i="4"/>
  <c r="C911" i="4"/>
  <c r="D911" i="4"/>
  <c r="E911" i="4"/>
  <c r="F911" i="4"/>
  <c r="G911" i="4"/>
  <c r="H911" i="4"/>
  <c r="I911" i="4"/>
  <c r="J911" i="4"/>
  <c r="K911" i="4"/>
  <c r="L911" i="4"/>
  <c r="B912" i="4"/>
  <c r="C912" i="4"/>
  <c r="D912" i="4"/>
  <c r="E912" i="4"/>
  <c r="F912" i="4"/>
  <c r="G912" i="4"/>
  <c r="H912" i="4"/>
  <c r="I912" i="4"/>
  <c r="J912" i="4"/>
  <c r="K912" i="4"/>
  <c r="L912" i="4"/>
  <c r="B913" i="4"/>
  <c r="C913" i="4"/>
  <c r="D913" i="4"/>
  <c r="E913" i="4"/>
  <c r="F913" i="4"/>
  <c r="G913" i="4"/>
  <c r="H913" i="4"/>
  <c r="I913" i="4"/>
  <c r="J913" i="4"/>
  <c r="K913" i="4"/>
  <c r="L913" i="4"/>
  <c r="B914" i="4"/>
  <c r="C914" i="4"/>
  <c r="D914" i="4"/>
  <c r="E914" i="4"/>
  <c r="F914" i="4"/>
  <c r="G914" i="4"/>
  <c r="H914" i="4"/>
  <c r="I914" i="4"/>
  <c r="J914" i="4"/>
  <c r="K914" i="4"/>
  <c r="L914" i="4"/>
  <c r="B915" i="4"/>
  <c r="C915" i="4"/>
  <c r="D915" i="4"/>
  <c r="E915" i="4"/>
  <c r="F915" i="4"/>
  <c r="G915" i="4"/>
  <c r="H915" i="4"/>
  <c r="I915" i="4"/>
  <c r="J915" i="4"/>
  <c r="K915" i="4"/>
  <c r="L915" i="4"/>
  <c r="B916" i="4"/>
  <c r="C916" i="4"/>
  <c r="D916" i="4"/>
  <c r="E916" i="4"/>
  <c r="F916" i="4"/>
  <c r="G916" i="4"/>
  <c r="H916" i="4"/>
  <c r="I916" i="4"/>
  <c r="J916" i="4"/>
  <c r="K916" i="4"/>
  <c r="L916" i="4"/>
  <c r="B917" i="4"/>
  <c r="C917" i="4"/>
  <c r="D917" i="4"/>
  <c r="E917" i="4"/>
  <c r="F917" i="4"/>
  <c r="G917" i="4"/>
  <c r="H917" i="4"/>
  <c r="I917" i="4"/>
  <c r="J917" i="4"/>
  <c r="K917" i="4"/>
  <c r="L917" i="4"/>
  <c r="B918" i="4"/>
  <c r="C918" i="4"/>
  <c r="D918" i="4"/>
  <c r="E918" i="4"/>
  <c r="F918" i="4"/>
  <c r="G918" i="4"/>
  <c r="H918" i="4"/>
  <c r="I918" i="4"/>
  <c r="J918" i="4"/>
  <c r="K918" i="4"/>
  <c r="L918" i="4"/>
  <c r="B919" i="4"/>
  <c r="C919" i="4"/>
  <c r="D919" i="4"/>
  <c r="E919" i="4"/>
  <c r="F919" i="4"/>
  <c r="G919" i="4"/>
  <c r="H919" i="4"/>
  <c r="I919" i="4"/>
  <c r="J919" i="4"/>
  <c r="K919" i="4"/>
  <c r="L919" i="4"/>
  <c r="B920" i="4"/>
  <c r="C920" i="4"/>
  <c r="D920" i="4"/>
  <c r="E920" i="4"/>
  <c r="F920" i="4"/>
  <c r="G920" i="4"/>
  <c r="H920" i="4"/>
  <c r="I920" i="4"/>
  <c r="J920" i="4"/>
  <c r="K920" i="4"/>
  <c r="L920" i="4"/>
  <c r="B921" i="4"/>
  <c r="C921" i="4"/>
  <c r="D921" i="4"/>
  <c r="E921" i="4"/>
  <c r="F921" i="4"/>
  <c r="G921" i="4"/>
  <c r="H921" i="4"/>
  <c r="I921" i="4"/>
  <c r="J921" i="4"/>
  <c r="K921" i="4"/>
  <c r="L921" i="4"/>
  <c r="B922" i="4"/>
  <c r="C922" i="4"/>
  <c r="D922" i="4"/>
  <c r="E922" i="4"/>
  <c r="F922" i="4"/>
  <c r="G922" i="4"/>
  <c r="H922" i="4"/>
  <c r="I922" i="4"/>
  <c r="J922" i="4"/>
  <c r="K922" i="4"/>
  <c r="L922" i="4"/>
  <c r="B923" i="4"/>
  <c r="C923" i="4"/>
  <c r="D923" i="4"/>
  <c r="E923" i="4"/>
  <c r="F923" i="4"/>
  <c r="G923" i="4"/>
  <c r="H923" i="4"/>
  <c r="I923" i="4"/>
  <c r="J923" i="4"/>
  <c r="K923" i="4"/>
  <c r="L923" i="4"/>
  <c r="B924" i="4"/>
  <c r="C924" i="4"/>
  <c r="D924" i="4"/>
  <c r="E924" i="4"/>
  <c r="F924" i="4"/>
  <c r="G924" i="4"/>
  <c r="H924" i="4"/>
  <c r="I924" i="4"/>
  <c r="J924" i="4"/>
  <c r="K924" i="4"/>
  <c r="L924" i="4"/>
  <c r="B925" i="4"/>
  <c r="C925" i="4"/>
  <c r="D925" i="4"/>
  <c r="E925" i="4"/>
  <c r="F925" i="4"/>
  <c r="G925" i="4"/>
  <c r="H925" i="4"/>
  <c r="I925" i="4"/>
  <c r="J925" i="4"/>
  <c r="K925" i="4"/>
  <c r="L925" i="4"/>
  <c r="B926" i="4"/>
  <c r="C926" i="4"/>
  <c r="D926" i="4"/>
  <c r="E926" i="4"/>
  <c r="F926" i="4"/>
  <c r="G926" i="4"/>
  <c r="H926" i="4"/>
  <c r="I926" i="4"/>
  <c r="J926" i="4"/>
  <c r="K926" i="4"/>
  <c r="L926" i="4"/>
  <c r="B927" i="4"/>
  <c r="C927" i="4"/>
  <c r="D927" i="4"/>
  <c r="E927" i="4"/>
  <c r="F927" i="4"/>
  <c r="G927" i="4"/>
  <c r="H927" i="4"/>
  <c r="I927" i="4"/>
  <c r="J927" i="4"/>
  <c r="K927" i="4"/>
  <c r="L927" i="4"/>
  <c r="B928" i="4"/>
  <c r="C928" i="4"/>
  <c r="D928" i="4"/>
  <c r="E928" i="4"/>
  <c r="F928" i="4"/>
  <c r="G928" i="4"/>
  <c r="H928" i="4"/>
  <c r="I928" i="4"/>
  <c r="J928" i="4"/>
  <c r="K928" i="4"/>
  <c r="L928" i="4"/>
  <c r="B929" i="4"/>
  <c r="C929" i="4"/>
  <c r="D929" i="4"/>
  <c r="E929" i="4"/>
  <c r="F929" i="4"/>
  <c r="G929" i="4"/>
  <c r="H929" i="4"/>
  <c r="I929" i="4"/>
  <c r="J929" i="4"/>
  <c r="K929" i="4"/>
  <c r="L929" i="4"/>
  <c r="B930" i="4"/>
  <c r="C930" i="4"/>
  <c r="D930" i="4"/>
  <c r="E930" i="4"/>
  <c r="F930" i="4"/>
  <c r="G930" i="4"/>
  <c r="H930" i="4"/>
  <c r="I930" i="4"/>
  <c r="J930" i="4"/>
  <c r="K930" i="4"/>
  <c r="L930" i="4"/>
  <c r="B931" i="4"/>
  <c r="C931" i="4"/>
  <c r="D931" i="4"/>
  <c r="E931" i="4"/>
  <c r="F931" i="4"/>
  <c r="G931" i="4"/>
  <c r="H931" i="4"/>
  <c r="I931" i="4"/>
  <c r="J931" i="4"/>
  <c r="K931" i="4"/>
  <c r="L931" i="4"/>
  <c r="B932" i="4"/>
  <c r="C932" i="4"/>
  <c r="D932" i="4"/>
  <c r="E932" i="4"/>
  <c r="F932" i="4"/>
  <c r="G932" i="4"/>
  <c r="H932" i="4"/>
  <c r="I932" i="4"/>
  <c r="J932" i="4"/>
  <c r="K932" i="4"/>
  <c r="L932" i="4"/>
  <c r="B933" i="4"/>
  <c r="C933" i="4"/>
  <c r="D933" i="4"/>
  <c r="E933" i="4"/>
  <c r="F933" i="4"/>
  <c r="G933" i="4"/>
  <c r="H933" i="4"/>
  <c r="I933" i="4"/>
  <c r="J933" i="4"/>
  <c r="K933" i="4"/>
  <c r="L933" i="4"/>
  <c r="B934" i="4"/>
  <c r="C934" i="4"/>
  <c r="D934" i="4"/>
  <c r="E934" i="4"/>
  <c r="F934" i="4"/>
  <c r="G934" i="4"/>
  <c r="H934" i="4"/>
  <c r="I934" i="4"/>
  <c r="J934" i="4"/>
  <c r="K934" i="4"/>
  <c r="L934" i="4"/>
  <c r="B935" i="4"/>
  <c r="C935" i="4"/>
  <c r="D935" i="4"/>
  <c r="E935" i="4"/>
  <c r="F935" i="4"/>
  <c r="G935" i="4"/>
  <c r="H935" i="4"/>
  <c r="I935" i="4"/>
  <c r="J935" i="4"/>
  <c r="K935" i="4"/>
  <c r="L935" i="4"/>
  <c r="B936" i="4"/>
  <c r="C936" i="4"/>
  <c r="D936" i="4"/>
  <c r="E936" i="4"/>
  <c r="F936" i="4"/>
  <c r="G936" i="4"/>
  <c r="H936" i="4"/>
  <c r="I936" i="4"/>
  <c r="J936" i="4"/>
  <c r="K936" i="4"/>
  <c r="L936" i="4"/>
  <c r="B937" i="4"/>
  <c r="C937" i="4"/>
  <c r="D937" i="4"/>
  <c r="E937" i="4"/>
  <c r="F937" i="4"/>
  <c r="G937" i="4"/>
  <c r="H937" i="4"/>
  <c r="I937" i="4"/>
  <c r="J937" i="4"/>
  <c r="K937" i="4"/>
  <c r="L937" i="4"/>
  <c r="B938" i="4"/>
  <c r="C938" i="4"/>
  <c r="D938" i="4"/>
  <c r="E938" i="4"/>
  <c r="F938" i="4"/>
  <c r="G938" i="4"/>
  <c r="H938" i="4"/>
  <c r="I938" i="4"/>
  <c r="J938" i="4"/>
  <c r="K938" i="4"/>
  <c r="L938" i="4"/>
  <c r="B939" i="4"/>
  <c r="C939" i="4"/>
  <c r="D939" i="4"/>
  <c r="E939" i="4"/>
  <c r="F939" i="4"/>
  <c r="G939" i="4"/>
  <c r="H939" i="4"/>
  <c r="I939" i="4"/>
  <c r="J939" i="4"/>
  <c r="K939" i="4"/>
  <c r="L939" i="4"/>
  <c r="B940" i="4"/>
  <c r="C940" i="4"/>
  <c r="D940" i="4"/>
  <c r="E940" i="4"/>
  <c r="F940" i="4"/>
  <c r="G940" i="4"/>
  <c r="H940" i="4"/>
  <c r="I940" i="4"/>
  <c r="J940" i="4"/>
  <c r="K940" i="4"/>
  <c r="L940" i="4"/>
  <c r="B941" i="4"/>
  <c r="C941" i="4"/>
  <c r="D941" i="4"/>
  <c r="E941" i="4"/>
  <c r="F941" i="4"/>
  <c r="G941" i="4"/>
  <c r="H941" i="4"/>
  <c r="I941" i="4"/>
  <c r="J941" i="4"/>
  <c r="K941" i="4"/>
  <c r="L941" i="4"/>
  <c r="B942" i="4"/>
  <c r="C942" i="4"/>
  <c r="D942" i="4"/>
  <c r="E942" i="4"/>
  <c r="F942" i="4"/>
  <c r="G942" i="4"/>
  <c r="H942" i="4"/>
  <c r="I942" i="4"/>
  <c r="J942" i="4"/>
  <c r="K942" i="4"/>
  <c r="L942" i="4"/>
  <c r="B943" i="4"/>
  <c r="C943" i="4"/>
  <c r="D943" i="4"/>
  <c r="E943" i="4"/>
  <c r="F943" i="4"/>
  <c r="G943" i="4"/>
  <c r="H943" i="4"/>
  <c r="I943" i="4"/>
  <c r="J943" i="4"/>
  <c r="K943" i="4"/>
  <c r="L943" i="4"/>
  <c r="B944" i="4"/>
  <c r="C944" i="4"/>
  <c r="D944" i="4"/>
  <c r="E944" i="4"/>
  <c r="F944" i="4"/>
  <c r="G944" i="4"/>
  <c r="H944" i="4"/>
  <c r="I944" i="4"/>
  <c r="J944" i="4"/>
  <c r="K944" i="4"/>
  <c r="L944" i="4"/>
  <c r="B945" i="4"/>
  <c r="C945" i="4"/>
  <c r="D945" i="4"/>
  <c r="E945" i="4"/>
  <c r="F945" i="4"/>
  <c r="G945" i="4"/>
  <c r="H945" i="4"/>
  <c r="I945" i="4"/>
  <c r="J945" i="4"/>
  <c r="K945" i="4"/>
  <c r="L945" i="4"/>
  <c r="B946" i="4"/>
  <c r="C946" i="4"/>
  <c r="D946" i="4"/>
  <c r="E946" i="4"/>
  <c r="F946" i="4"/>
  <c r="G946" i="4"/>
  <c r="H946" i="4"/>
  <c r="I946" i="4"/>
  <c r="J946" i="4"/>
  <c r="K946" i="4"/>
  <c r="L946" i="4"/>
  <c r="B947" i="4"/>
  <c r="C947" i="4"/>
  <c r="D947" i="4"/>
  <c r="E947" i="4"/>
  <c r="F947" i="4"/>
  <c r="G947" i="4"/>
  <c r="H947" i="4"/>
  <c r="I947" i="4"/>
  <c r="J947" i="4"/>
  <c r="K947" i="4"/>
  <c r="L947" i="4"/>
  <c r="B948" i="4"/>
  <c r="C948" i="4"/>
  <c r="D948" i="4"/>
  <c r="E948" i="4"/>
  <c r="F948" i="4"/>
  <c r="G948" i="4"/>
  <c r="H948" i="4"/>
  <c r="I948" i="4"/>
  <c r="J948" i="4"/>
  <c r="K948" i="4"/>
  <c r="L948" i="4"/>
  <c r="B949" i="4"/>
  <c r="C949" i="4"/>
  <c r="D949" i="4"/>
  <c r="E949" i="4"/>
  <c r="F949" i="4"/>
  <c r="G949" i="4"/>
  <c r="H949" i="4"/>
  <c r="I949" i="4"/>
  <c r="J949" i="4"/>
  <c r="K949" i="4"/>
  <c r="L949" i="4"/>
  <c r="B950" i="4"/>
  <c r="C950" i="4"/>
  <c r="D950" i="4"/>
  <c r="E950" i="4"/>
  <c r="F950" i="4"/>
  <c r="G950" i="4"/>
  <c r="H950" i="4"/>
  <c r="I950" i="4"/>
  <c r="J950" i="4"/>
  <c r="K950" i="4"/>
  <c r="L950" i="4"/>
  <c r="B951" i="4"/>
  <c r="C951" i="4"/>
  <c r="D951" i="4"/>
  <c r="E951" i="4"/>
  <c r="F951" i="4"/>
  <c r="G951" i="4"/>
  <c r="H951" i="4"/>
  <c r="I951" i="4"/>
  <c r="J951" i="4"/>
  <c r="K951" i="4"/>
  <c r="L951" i="4"/>
  <c r="B952" i="4"/>
  <c r="C952" i="4"/>
  <c r="D952" i="4"/>
  <c r="E952" i="4"/>
  <c r="F952" i="4"/>
  <c r="G952" i="4"/>
  <c r="H952" i="4"/>
  <c r="I952" i="4"/>
  <c r="J952" i="4"/>
  <c r="K952" i="4"/>
  <c r="L952" i="4"/>
  <c r="B953" i="4"/>
  <c r="C953" i="4"/>
  <c r="D953" i="4"/>
  <c r="E953" i="4"/>
  <c r="F953" i="4"/>
  <c r="G953" i="4"/>
  <c r="H953" i="4"/>
  <c r="I953" i="4"/>
  <c r="J953" i="4"/>
  <c r="K953" i="4"/>
  <c r="L953" i="4"/>
  <c r="B954" i="4"/>
  <c r="C954" i="4"/>
  <c r="D954" i="4"/>
  <c r="E954" i="4"/>
  <c r="F954" i="4"/>
  <c r="G954" i="4"/>
  <c r="H954" i="4"/>
  <c r="I954" i="4"/>
  <c r="J954" i="4"/>
  <c r="K954" i="4"/>
  <c r="L954" i="4"/>
  <c r="B955" i="4"/>
  <c r="C955" i="4"/>
  <c r="D955" i="4"/>
  <c r="E955" i="4"/>
  <c r="F955" i="4"/>
  <c r="G955" i="4"/>
  <c r="H955" i="4"/>
  <c r="I955" i="4"/>
  <c r="J955" i="4"/>
  <c r="K955" i="4"/>
  <c r="L955" i="4"/>
  <c r="B956" i="4"/>
  <c r="C956" i="4"/>
  <c r="D956" i="4"/>
  <c r="E956" i="4"/>
  <c r="F956" i="4"/>
  <c r="G956" i="4"/>
  <c r="H956" i="4"/>
  <c r="I956" i="4"/>
  <c r="J956" i="4"/>
  <c r="K956" i="4"/>
  <c r="L956" i="4"/>
  <c r="B957" i="4"/>
  <c r="C957" i="4"/>
  <c r="D957" i="4"/>
  <c r="E957" i="4"/>
  <c r="F957" i="4"/>
  <c r="G957" i="4"/>
  <c r="H957" i="4"/>
  <c r="I957" i="4"/>
  <c r="J957" i="4"/>
  <c r="K957" i="4"/>
  <c r="L957" i="4"/>
  <c r="B958" i="4"/>
  <c r="C958" i="4"/>
  <c r="D958" i="4"/>
  <c r="E958" i="4"/>
  <c r="F958" i="4"/>
  <c r="G958" i="4"/>
  <c r="H958" i="4"/>
  <c r="I958" i="4"/>
  <c r="J958" i="4"/>
  <c r="K958" i="4"/>
  <c r="L958" i="4"/>
  <c r="B959" i="4"/>
  <c r="C959" i="4"/>
  <c r="D959" i="4"/>
  <c r="E959" i="4"/>
  <c r="F959" i="4"/>
  <c r="G959" i="4"/>
  <c r="H959" i="4"/>
  <c r="I959" i="4"/>
  <c r="J959" i="4"/>
  <c r="K959" i="4"/>
  <c r="L959" i="4"/>
  <c r="B960" i="4"/>
  <c r="C960" i="4"/>
  <c r="D960" i="4"/>
  <c r="E960" i="4"/>
  <c r="F960" i="4"/>
  <c r="G960" i="4"/>
  <c r="H960" i="4"/>
  <c r="I960" i="4"/>
  <c r="J960" i="4"/>
  <c r="K960" i="4"/>
  <c r="L960" i="4"/>
  <c r="B961" i="4"/>
  <c r="C961" i="4"/>
  <c r="D961" i="4"/>
  <c r="E961" i="4"/>
  <c r="F961" i="4"/>
  <c r="G961" i="4"/>
  <c r="H961" i="4"/>
  <c r="I961" i="4"/>
  <c r="J961" i="4"/>
  <c r="K961" i="4"/>
  <c r="L961" i="4"/>
  <c r="B962" i="4"/>
  <c r="C962" i="4"/>
  <c r="D962" i="4"/>
  <c r="E962" i="4"/>
  <c r="F962" i="4"/>
  <c r="G962" i="4"/>
  <c r="H962" i="4"/>
  <c r="I962" i="4"/>
  <c r="J962" i="4"/>
  <c r="K962" i="4"/>
  <c r="L962" i="4"/>
  <c r="B963" i="4"/>
  <c r="C963" i="4"/>
  <c r="D963" i="4"/>
  <c r="E963" i="4"/>
  <c r="F963" i="4"/>
  <c r="G963" i="4"/>
  <c r="H963" i="4"/>
  <c r="I963" i="4"/>
  <c r="J963" i="4"/>
  <c r="K963" i="4"/>
  <c r="L963" i="4"/>
  <c r="B964" i="4"/>
  <c r="C964" i="4"/>
  <c r="D964" i="4"/>
  <c r="E964" i="4"/>
  <c r="F964" i="4"/>
  <c r="G964" i="4"/>
  <c r="H964" i="4"/>
  <c r="I964" i="4"/>
  <c r="J964" i="4"/>
  <c r="K964" i="4"/>
  <c r="L964" i="4"/>
  <c r="B965" i="4"/>
  <c r="C965" i="4"/>
  <c r="D965" i="4"/>
  <c r="E965" i="4"/>
  <c r="F965" i="4"/>
  <c r="G965" i="4"/>
  <c r="H965" i="4"/>
  <c r="I965" i="4"/>
  <c r="J965" i="4"/>
  <c r="K965" i="4"/>
  <c r="L965" i="4"/>
  <c r="B966" i="4"/>
  <c r="C966" i="4"/>
  <c r="D966" i="4"/>
  <c r="E966" i="4"/>
  <c r="F966" i="4"/>
  <c r="G966" i="4"/>
  <c r="H966" i="4"/>
  <c r="I966" i="4"/>
  <c r="J966" i="4"/>
  <c r="K966" i="4"/>
  <c r="L966" i="4"/>
  <c r="B967" i="4"/>
  <c r="C967" i="4"/>
  <c r="D967" i="4"/>
  <c r="E967" i="4"/>
  <c r="F967" i="4"/>
  <c r="G967" i="4"/>
  <c r="H967" i="4"/>
  <c r="I967" i="4"/>
  <c r="J967" i="4"/>
  <c r="K967" i="4"/>
  <c r="L967" i="4"/>
  <c r="B968" i="4"/>
  <c r="C968" i="4"/>
  <c r="D968" i="4"/>
  <c r="E968" i="4"/>
  <c r="F968" i="4"/>
  <c r="G968" i="4"/>
  <c r="H968" i="4"/>
  <c r="I968" i="4"/>
  <c r="J968" i="4"/>
  <c r="K968" i="4"/>
  <c r="L968" i="4"/>
  <c r="B969" i="4"/>
  <c r="C969" i="4"/>
  <c r="D969" i="4"/>
  <c r="E969" i="4"/>
  <c r="F969" i="4"/>
  <c r="G969" i="4"/>
  <c r="H969" i="4"/>
  <c r="I969" i="4"/>
  <c r="J969" i="4"/>
  <c r="K969" i="4"/>
  <c r="L969" i="4"/>
  <c r="B970" i="4"/>
  <c r="C970" i="4"/>
  <c r="D970" i="4"/>
  <c r="E970" i="4"/>
  <c r="F970" i="4"/>
  <c r="G970" i="4"/>
  <c r="H970" i="4"/>
  <c r="I970" i="4"/>
  <c r="J970" i="4"/>
  <c r="K970" i="4"/>
  <c r="L970" i="4"/>
  <c r="B971" i="4"/>
  <c r="C971" i="4"/>
  <c r="D971" i="4"/>
  <c r="E971" i="4"/>
  <c r="F971" i="4"/>
  <c r="G971" i="4"/>
  <c r="H971" i="4"/>
  <c r="I971" i="4"/>
  <c r="J971" i="4"/>
  <c r="K971" i="4"/>
  <c r="L971" i="4"/>
  <c r="B972" i="4"/>
  <c r="C972" i="4"/>
  <c r="D972" i="4"/>
  <c r="E972" i="4"/>
  <c r="F972" i="4"/>
  <c r="G972" i="4"/>
  <c r="H972" i="4"/>
  <c r="I972" i="4"/>
  <c r="J972" i="4"/>
  <c r="K972" i="4"/>
  <c r="L972" i="4"/>
  <c r="B973" i="4"/>
  <c r="C973" i="4"/>
  <c r="D973" i="4"/>
  <c r="E973" i="4"/>
  <c r="F973" i="4"/>
  <c r="G973" i="4"/>
  <c r="H973" i="4"/>
  <c r="I973" i="4"/>
  <c r="J973" i="4"/>
  <c r="K973" i="4"/>
  <c r="L973" i="4"/>
  <c r="B974" i="4"/>
  <c r="C974" i="4"/>
  <c r="D974" i="4"/>
  <c r="E974" i="4"/>
  <c r="F974" i="4"/>
  <c r="G974" i="4"/>
  <c r="H974" i="4"/>
  <c r="I974" i="4"/>
  <c r="J974" i="4"/>
  <c r="K974" i="4"/>
  <c r="L974" i="4"/>
  <c r="B975" i="4"/>
  <c r="C975" i="4"/>
  <c r="D975" i="4"/>
  <c r="E975" i="4"/>
  <c r="F975" i="4"/>
  <c r="G975" i="4"/>
  <c r="H975" i="4"/>
  <c r="I975" i="4"/>
  <c r="J975" i="4"/>
  <c r="K975" i="4"/>
  <c r="L975" i="4"/>
  <c r="B976" i="4"/>
  <c r="C976" i="4"/>
  <c r="D976" i="4"/>
  <c r="E976" i="4"/>
  <c r="F976" i="4"/>
  <c r="G976" i="4"/>
  <c r="H976" i="4"/>
  <c r="I976" i="4"/>
  <c r="J976" i="4"/>
  <c r="K976" i="4"/>
  <c r="L976" i="4"/>
  <c r="B977" i="4"/>
  <c r="C977" i="4"/>
  <c r="D977" i="4"/>
  <c r="E977" i="4"/>
  <c r="F977" i="4"/>
  <c r="G977" i="4"/>
  <c r="H977" i="4"/>
  <c r="I977" i="4"/>
  <c r="J977" i="4"/>
  <c r="K977" i="4"/>
  <c r="L977" i="4"/>
  <c r="B978" i="4"/>
  <c r="C978" i="4"/>
  <c r="D978" i="4"/>
  <c r="E978" i="4"/>
  <c r="F978" i="4"/>
  <c r="G978" i="4"/>
  <c r="H978" i="4"/>
  <c r="I978" i="4"/>
  <c r="J978" i="4"/>
  <c r="K978" i="4"/>
  <c r="L978" i="4"/>
  <c r="B979" i="4"/>
  <c r="C979" i="4"/>
  <c r="D979" i="4"/>
  <c r="E979" i="4"/>
  <c r="F979" i="4"/>
  <c r="G979" i="4"/>
  <c r="H979" i="4"/>
  <c r="I979" i="4"/>
  <c r="J979" i="4"/>
  <c r="K979" i="4"/>
  <c r="L979" i="4"/>
  <c r="B980" i="4"/>
  <c r="C980" i="4"/>
  <c r="D980" i="4"/>
  <c r="E980" i="4"/>
  <c r="F980" i="4"/>
  <c r="G980" i="4"/>
  <c r="H980" i="4"/>
  <c r="I980" i="4"/>
  <c r="J980" i="4"/>
  <c r="K980" i="4"/>
  <c r="L980" i="4"/>
  <c r="B981" i="4"/>
  <c r="C981" i="4"/>
  <c r="D981" i="4"/>
  <c r="E981" i="4"/>
  <c r="F981" i="4"/>
  <c r="G981" i="4"/>
  <c r="H981" i="4"/>
  <c r="I981" i="4"/>
  <c r="J981" i="4"/>
  <c r="K981" i="4"/>
  <c r="L981" i="4"/>
  <c r="B982" i="4"/>
  <c r="C982" i="4"/>
  <c r="D982" i="4"/>
  <c r="E982" i="4"/>
  <c r="F982" i="4"/>
  <c r="G982" i="4"/>
  <c r="H982" i="4"/>
  <c r="I982" i="4"/>
  <c r="J982" i="4"/>
  <c r="K982" i="4"/>
  <c r="L982" i="4"/>
  <c r="B983" i="4"/>
  <c r="C983" i="4"/>
  <c r="D983" i="4"/>
  <c r="E983" i="4"/>
  <c r="F983" i="4"/>
  <c r="G983" i="4"/>
  <c r="H983" i="4"/>
  <c r="I983" i="4"/>
  <c r="J983" i="4"/>
  <c r="K983" i="4"/>
  <c r="L983" i="4"/>
  <c r="B984" i="4"/>
  <c r="C984" i="4"/>
  <c r="D984" i="4"/>
  <c r="E984" i="4"/>
  <c r="F984" i="4"/>
  <c r="G984" i="4"/>
  <c r="H984" i="4"/>
  <c r="I984" i="4"/>
  <c r="J984" i="4"/>
  <c r="K984" i="4"/>
  <c r="L984" i="4"/>
  <c r="B985" i="4"/>
  <c r="C985" i="4"/>
  <c r="D985" i="4"/>
  <c r="E985" i="4"/>
  <c r="F985" i="4"/>
  <c r="G985" i="4"/>
  <c r="H985" i="4"/>
  <c r="I985" i="4"/>
  <c r="J985" i="4"/>
  <c r="K985" i="4"/>
  <c r="L985" i="4"/>
  <c r="B986" i="4"/>
  <c r="C986" i="4"/>
  <c r="D986" i="4"/>
  <c r="E986" i="4"/>
  <c r="F986" i="4"/>
  <c r="G986" i="4"/>
  <c r="H986" i="4"/>
  <c r="I986" i="4"/>
  <c r="J986" i="4"/>
  <c r="K986" i="4"/>
  <c r="L986" i="4"/>
  <c r="B987" i="4"/>
  <c r="C987" i="4"/>
  <c r="D987" i="4"/>
  <c r="E987" i="4"/>
  <c r="F987" i="4"/>
  <c r="G987" i="4"/>
  <c r="H987" i="4"/>
  <c r="I987" i="4"/>
  <c r="J987" i="4"/>
  <c r="K987" i="4"/>
  <c r="L987" i="4"/>
  <c r="B988" i="4"/>
  <c r="C988" i="4"/>
  <c r="D988" i="4"/>
  <c r="E988" i="4"/>
  <c r="F988" i="4"/>
  <c r="G988" i="4"/>
  <c r="H988" i="4"/>
  <c r="I988" i="4"/>
  <c r="J988" i="4"/>
  <c r="K988" i="4"/>
  <c r="L988" i="4"/>
  <c r="B989" i="4"/>
  <c r="C989" i="4"/>
  <c r="D989" i="4"/>
  <c r="E989" i="4"/>
  <c r="F989" i="4"/>
  <c r="G989" i="4"/>
  <c r="H989" i="4"/>
  <c r="I989" i="4"/>
  <c r="J989" i="4"/>
  <c r="K989" i="4"/>
  <c r="L989" i="4"/>
  <c r="B990" i="4"/>
  <c r="C990" i="4"/>
  <c r="D990" i="4"/>
  <c r="E990" i="4"/>
  <c r="F990" i="4"/>
  <c r="G990" i="4"/>
  <c r="H990" i="4"/>
  <c r="I990" i="4"/>
  <c r="J990" i="4"/>
  <c r="K990" i="4"/>
  <c r="L990" i="4"/>
  <c r="B991" i="4"/>
  <c r="C991" i="4"/>
  <c r="D991" i="4"/>
  <c r="E991" i="4"/>
  <c r="F991" i="4"/>
  <c r="G991" i="4"/>
  <c r="H991" i="4"/>
  <c r="I991" i="4"/>
  <c r="J991" i="4"/>
  <c r="K991" i="4"/>
  <c r="L991" i="4"/>
  <c r="B992" i="4"/>
  <c r="C992" i="4"/>
  <c r="D992" i="4"/>
  <c r="E992" i="4"/>
  <c r="F992" i="4"/>
  <c r="G992" i="4"/>
  <c r="H992" i="4"/>
  <c r="I992" i="4"/>
  <c r="J992" i="4"/>
  <c r="K992" i="4"/>
  <c r="L992" i="4"/>
  <c r="B993" i="4"/>
  <c r="C993" i="4"/>
  <c r="D993" i="4"/>
  <c r="E993" i="4"/>
  <c r="F993" i="4"/>
  <c r="G993" i="4"/>
  <c r="H993" i="4"/>
  <c r="I993" i="4"/>
  <c r="J993" i="4"/>
  <c r="K993" i="4"/>
  <c r="L993" i="4"/>
  <c r="B994" i="4"/>
  <c r="C994" i="4"/>
  <c r="D994" i="4"/>
  <c r="E994" i="4"/>
  <c r="F994" i="4"/>
  <c r="G994" i="4"/>
  <c r="H994" i="4"/>
  <c r="I994" i="4"/>
  <c r="J994" i="4"/>
  <c r="K994" i="4"/>
  <c r="L994" i="4"/>
  <c r="B995" i="4"/>
  <c r="C995" i="4"/>
  <c r="D995" i="4"/>
  <c r="E995" i="4"/>
  <c r="F995" i="4"/>
  <c r="G995" i="4"/>
  <c r="H995" i="4"/>
  <c r="I995" i="4"/>
  <c r="J995" i="4"/>
  <c r="K995" i="4"/>
  <c r="L995" i="4"/>
  <c r="B996" i="4"/>
  <c r="C996" i="4"/>
  <c r="D996" i="4"/>
  <c r="E996" i="4"/>
  <c r="F996" i="4"/>
  <c r="G996" i="4"/>
  <c r="H996" i="4"/>
  <c r="I996" i="4"/>
  <c r="J996" i="4"/>
  <c r="K996" i="4"/>
  <c r="L996" i="4"/>
  <c r="B997" i="4"/>
  <c r="C997" i="4"/>
  <c r="D997" i="4"/>
  <c r="E997" i="4"/>
  <c r="F997" i="4"/>
  <c r="G997" i="4"/>
  <c r="H997" i="4"/>
  <c r="I997" i="4"/>
  <c r="J997" i="4"/>
  <c r="K997" i="4"/>
  <c r="L997" i="4"/>
  <c r="B998" i="4"/>
  <c r="C998" i="4"/>
  <c r="D998" i="4"/>
  <c r="E998" i="4"/>
  <c r="F998" i="4"/>
  <c r="G998" i="4"/>
  <c r="H998" i="4"/>
  <c r="I998" i="4"/>
  <c r="J998" i="4"/>
  <c r="K998" i="4"/>
  <c r="L998" i="4"/>
  <c r="B999" i="4"/>
  <c r="C999" i="4"/>
  <c r="D999" i="4"/>
  <c r="E999" i="4"/>
  <c r="F999" i="4"/>
  <c r="G999" i="4"/>
  <c r="H999" i="4"/>
  <c r="I999" i="4"/>
  <c r="J999" i="4"/>
  <c r="K999" i="4"/>
  <c r="L999" i="4"/>
  <c r="B1000" i="4"/>
  <c r="C1000" i="4"/>
  <c r="D1000" i="4"/>
  <c r="E1000" i="4"/>
  <c r="F1000" i="4"/>
  <c r="G1000" i="4"/>
  <c r="H1000" i="4"/>
  <c r="I1000" i="4"/>
  <c r="J1000" i="4"/>
  <c r="K1000" i="4"/>
  <c r="L1000" i="4"/>
  <c r="B1001" i="4"/>
  <c r="C1001" i="4"/>
  <c r="D1001" i="4"/>
  <c r="E1001" i="4"/>
  <c r="F1001" i="4"/>
  <c r="G1001" i="4"/>
  <c r="H1001" i="4"/>
  <c r="I1001" i="4"/>
  <c r="J1001" i="4"/>
  <c r="K1001" i="4"/>
  <c r="L1001" i="4"/>
  <c r="B1002" i="4"/>
  <c r="C1002" i="4"/>
  <c r="D1002" i="4"/>
  <c r="E1002" i="4"/>
  <c r="F1002" i="4"/>
  <c r="G1002" i="4"/>
  <c r="H1002" i="4"/>
  <c r="I1002" i="4"/>
  <c r="J1002" i="4"/>
  <c r="K1002" i="4"/>
  <c r="L1002" i="4"/>
  <c r="B1003" i="4"/>
  <c r="C1003" i="4"/>
  <c r="D1003" i="4"/>
  <c r="E1003" i="4"/>
  <c r="F1003" i="4"/>
  <c r="G1003" i="4"/>
  <c r="H1003" i="4"/>
  <c r="I1003" i="4"/>
  <c r="J1003" i="4"/>
  <c r="K1003" i="4"/>
  <c r="L1003" i="4"/>
  <c r="B1004" i="4"/>
  <c r="C1004" i="4"/>
  <c r="D1004" i="4"/>
  <c r="E1004" i="4"/>
  <c r="F1004" i="4"/>
  <c r="G1004" i="4"/>
  <c r="H1004" i="4"/>
  <c r="I1004" i="4"/>
  <c r="J1004" i="4"/>
  <c r="K1004" i="4"/>
  <c r="L1004" i="4"/>
  <c r="B1005" i="4"/>
  <c r="C1005" i="4"/>
  <c r="D1005" i="4"/>
  <c r="E1005" i="4"/>
  <c r="F1005" i="4"/>
  <c r="G1005" i="4"/>
  <c r="H1005" i="4"/>
  <c r="I1005" i="4"/>
  <c r="J1005" i="4"/>
  <c r="K1005" i="4"/>
  <c r="L1005" i="4"/>
  <c r="B1006" i="4"/>
  <c r="C1006" i="4"/>
  <c r="D1006" i="4"/>
  <c r="E1006" i="4"/>
  <c r="F1006" i="4"/>
  <c r="G1006" i="4"/>
  <c r="H1006" i="4"/>
  <c r="I1006" i="4"/>
  <c r="J1006" i="4"/>
  <c r="K1006" i="4"/>
  <c r="L1006" i="4"/>
  <c r="B1007" i="4"/>
  <c r="C1007" i="4"/>
  <c r="D1007" i="4"/>
  <c r="E1007" i="4"/>
  <c r="F1007" i="4"/>
  <c r="G1007" i="4"/>
  <c r="H1007" i="4"/>
  <c r="I1007" i="4"/>
  <c r="J1007" i="4"/>
  <c r="K1007" i="4"/>
  <c r="L1007" i="4"/>
  <c r="B1008" i="4"/>
  <c r="C1008" i="4"/>
  <c r="D1008" i="4"/>
  <c r="E1008" i="4"/>
  <c r="F1008" i="4"/>
  <c r="G1008" i="4"/>
  <c r="H1008" i="4"/>
  <c r="I1008" i="4"/>
  <c r="J1008" i="4"/>
  <c r="K1008" i="4"/>
  <c r="L1008" i="4"/>
  <c r="B1009" i="4"/>
  <c r="C1009" i="4"/>
  <c r="D1009" i="4"/>
  <c r="E1009" i="4"/>
  <c r="F1009" i="4"/>
  <c r="G1009" i="4"/>
  <c r="H1009" i="4"/>
  <c r="I1009" i="4"/>
  <c r="J1009" i="4"/>
  <c r="K1009" i="4"/>
  <c r="L1009" i="4"/>
  <c r="B1010" i="4"/>
  <c r="C1010" i="4"/>
  <c r="D1010" i="4"/>
  <c r="E1010" i="4"/>
  <c r="F1010" i="4"/>
  <c r="G1010" i="4"/>
  <c r="H1010" i="4"/>
  <c r="I1010" i="4"/>
  <c r="J1010" i="4"/>
  <c r="K1010" i="4"/>
  <c r="L1010" i="4"/>
  <c r="B1011" i="4"/>
  <c r="C1011" i="4"/>
  <c r="D1011" i="4"/>
  <c r="E1011" i="4"/>
  <c r="F1011" i="4"/>
  <c r="G1011" i="4"/>
  <c r="H1011" i="4"/>
  <c r="I1011" i="4"/>
  <c r="J1011" i="4"/>
  <c r="K1011" i="4"/>
  <c r="L1011" i="4"/>
  <c r="B1012" i="4"/>
  <c r="C1012" i="4"/>
  <c r="D1012" i="4"/>
  <c r="E1012" i="4"/>
  <c r="F1012" i="4"/>
  <c r="G1012" i="4"/>
  <c r="H1012" i="4"/>
  <c r="I1012" i="4"/>
  <c r="J1012" i="4"/>
  <c r="K1012" i="4"/>
  <c r="L1012" i="4"/>
  <c r="B1013" i="4"/>
  <c r="C1013" i="4"/>
  <c r="D1013" i="4"/>
  <c r="E1013" i="4"/>
  <c r="F1013" i="4"/>
  <c r="G1013" i="4"/>
  <c r="H1013" i="4"/>
  <c r="I1013" i="4"/>
  <c r="J1013" i="4"/>
  <c r="K1013" i="4"/>
  <c r="L1013" i="4"/>
  <c r="B1014" i="4"/>
  <c r="C1014" i="4"/>
  <c r="D1014" i="4"/>
  <c r="E1014" i="4"/>
  <c r="F1014" i="4"/>
  <c r="G1014" i="4"/>
  <c r="H1014" i="4"/>
  <c r="I1014" i="4"/>
  <c r="J1014" i="4"/>
  <c r="K1014" i="4"/>
  <c r="L1014" i="4"/>
  <c r="B1015" i="4"/>
  <c r="C1015" i="4"/>
  <c r="D1015" i="4"/>
  <c r="E1015" i="4"/>
  <c r="F1015" i="4"/>
  <c r="G1015" i="4"/>
  <c r="H1015" i="4"/>
  <c r="I1015" i="4"/>
  <c r="J1015" i="4"/>
  <c r="K1015" i="4"/>
  <c r="L1015" i="4"/>
  <c r="B1016" i="4"/>
  <c r="C1016" i="4"/>
  <c r="D1016" i="4"/>
  <c r="E1016" i="4"/>
  <c r="F1016" i="4"/>
  <c r="G1016" i="4"/>
  <c r="H1016" i="4"/>
  <c r="I1016" i="4"/>
  <c r="J1016" i="4"/>
  <c r="K1016" i="4"/>
  <c r="L1016" i="4"/>
  <c r="B1017" i="4"/>
  <c r="C1017" i="4"/>
  <c r="D1017" i="4"/>
  <c r="E1017" i="4"/>
  <c r="F1017" i="4"/>
  <c r="G1017" i="4"/>
  <c r="H1017" i="4"/>
  <c r="I1017" i="4"/>
  <c r="J1017" i="4"/>
  <c r="K1017" i="4"/>
  <c r="L1017" i="4"/>
  <c r="B1018" i="4"/>
  <c r="C1018" i="4"/>
  <c r="D1018" i="4"/>
  <c r="E1018" i="4"/>
  <c r="F1018" i="4"/>
  <c r="G1018" i="4"/>
  <c r="H1018" i="4"/>
  <c r="I1018" i="4"/>
  <c r="J1018" i="4"/>
  <c r="K1018" i="4"/>
  <c r="L1018" i="4"/>
  <c r="B1019" i="4"/>
  <c r="C1019" i="4"/>
  <c r="D1019" i="4"/>
  <c r="E1019" i="4"/>
  <c r="F1019" i="4"/>
  <c r="G1019" i="4"/>
  <c r="H1019" i="4"/>
  <c r="I1019" i="4"/>
  <c r="J1019" i="4"/>
  <c r="K1019" i="4"/>
  <c r="L1019" i="4"/>
  <c r="B1020" i="4"/>
  <c r="C1020" i="4"/>
  <c r="D1020" i="4"/>
  <c r="E1020" i="4"/>
  <c r="F1020" i="4"/>
  <c r="G1020" i="4"/>
  <c r="H1020" i="4"/>
  <c r="I1020" i="4"/>
  <c r="J1020" i="4"/>
  <c r="K1020" i="4"/>
  <c r="L1020" i="4"/>
  <c r="B1021" i="4"/>
  <c r="C1021" i="4"/>
  <c r="D1021" i="4"/>
  <c r="E1021" i="4"/>
  <c r="F1021" i="4"/>
  <c r="G1021" i="4"/>
  <c r="H1021" i="4"/>
  <c r="I1021" i="4"/>
  <c r="J1021" i="4"/>
  <c r="K1021" i="4"/>
  <c r="L1021" i="4"/>
  <c r="B1022" i="4"/>
  <c r="C1022" i="4"/>
  <c r="D1022" i="4"/>
  <c r="E1022" i="4"/>
  <c r="F1022" i="4"/>
  <c r="G1022" i="4"/>
  <c r="H1022" i="4"/>
  <c r="I1022" i="4"/>
  <c r="J1022" i="4"/>
  <c r="K1022" i="4"/>
  <c r="L1022" i="4"/>
  <c r="B1023" i="4"/>
  <c r="C1023" i="4"/>
  <c r="D1023" i="4"/>
  <c r="E1023" i="4"/>
  <c r="F1023" i="4"/>
  <c r="G1023" i="4"/>
  <c r="H1023" i="4"/>
  <c r="I1023" i="4"/>
  <c r="J1023" i="4"/>
  <c r="K1023" i="4"/>
  <c r="L1023" i="4"/>
  <c r="B1024" i="4"/>
  <c r="C1024" i="4"/>
  <c r="D1024" i="4"/>
  <c r="E1024" i="4"/>
  <c r="F1024" i="4"/>
  <c r="G1024" i="4"/>
  <c r="H1024" i="4"/>
  <c r="I1024" i="4"/>
  <c r="J1024" i="4"/>
  <c r="K1024" i="4"/>
  <c r="L1024" i="4"/>
  <c r="B1025" i="4"/>
  <c r="C1025" i="4"/>
  <c r="D1025" i="4"/>
  <c r="E1025" i="4"/>
  <c r="F1025" i="4"/>
  <c r="G1025" i="4"/>
  <c r="H1025" i="4"/>
  <c r="I1025" i="4"/>
  <c r="J1025" i="4"/>
  <c r="K1025" i="4"/>
  <c r="L1025" i="4"/>
  <c r="B1026" i="4"/>
  <c r="C1026" i="4"/>
  <c r="D1026" i="4"/>
  <c r="E1026" i="4"/>
  <c r="F1026" i="4"/>
  <c r="G1026" i="4"/>
  <c r="H1026" i="4"/>
  <c r="I1026" i="4"/>
  <c r="J1026" i="4"/>
  <c r="K1026" i="4"/>
  <c r="L1026" i="4"/>
  <c r="B1027" i="4"/>
  <c r="C1027" i="4"/>
  <c r="D1027" i="4"/>
  <c r="E1027" i="4"/>
  <c r="F1027" i="4"/>
  <c r="G1027" i="4"/>
  <c r="H1027" i="4"/>
  <c r="I1027" i="4"/>
  <c r="J1027" i="4"/>
  <c r="K1027" i="4"/>
  <c r="L1027" i="4"/>
  <c r="B1028" i="4"/>
  <c r="C1028" i="4"/>
  <c r="D1028" i="4"/>
  <c r="E1028" i="4"/>
  <c r="F1028" i="4"/>
  <c r="G1028" i="4"/>
  <c r="H1028" i="4"/>
  <c r="I1028" i="4"/>
  <c r="J1028" i="4"/>
  <c r="K1028" i="4"/>
  <c r="L1028" i="4"/>
  <c r="B1029" i="4"/>
  <c r="C1029" i="4"/>
  <c r="D1029" i="4"/>
  <c r="E1029" i="4"/>
  <c r="F1029" i="4"/>
  <c r="G1029" i="4"/>
  <c r="H1029" i="4"/>
  <c r="I1029" i="4"/>
  <c r="J1029" i="4"/>
  <c r="K1029" i="4"/>
  <c r="L1029" i="4"/>
  <c r="B1030" i="4"/>
  <c r="C1030" i="4"/>
  <c r="D1030" i="4"/>
  <c r="E1030" i="4"/>
  <c r="F1030" i="4"/>
  <c r="G1030" i="4"/>
  <c r="H1030" i="4"/>
  <c r="I1030" i="4"/>
  <c r="J1030" i="4"/>
  <c r="K1030" i="4"/>
  <c r="L1030" i="4"/>
  <c r="B1031" i="4"/>
  <c r="C1031" i="4"/>
  <c r="D1031" i="4"/>
  <c r="E1031" i="4"/>
  <c r="F1031" i="4"/>
  <c r="G1031" i="4"/>
  <c r="H1031" i="4"/>
  <c r="I1031" i="4"/>
  <c r="J1031" i="4"/>
  <c r="K1031" i="4"/>
  <c r="L1031" i="4"/>
  <c r="B1032" i="4"/>
  <c r="C1032" i="4"/>
  <c r="D1032" i="4"/>
  <c r="E1032" i="4"/>
  <c r="F1032" i="4"/>
  <c r="G1032" i="4"/>
  <c r="H1032" i="4"/>
  <c r="I1032" i="4"/>
  <c r="J1032" i="4"/>
  <c r="K1032" i="4"/>
  <c r="L1032" i="4"/>
  <c r="B1033" i="4"/>
  <c r="C1033" i="4"/>
  <c r="D1033" i="4"/>
  <c r="E1033" i="4"/>
  <c r="F1033" i="4"/>
  <c r="G1033" i="4"/>
  <c r="H1033" i="4"/>
  <c r="I1033" i="4"/>
  <c r="J1033" i="4"/>
  <c r="K1033" i="4"/>
  <c r="L1033" i="4"/>
  <c r="B1034" i="4"/>
  <c r="C1034" i="4"/>
  <c r="D1034" i="4"/>
  <c r="E1034" i="4"/>
  <c r="F1034" i="4"/>
  <c r="G1034" i="4"/>
  <c r="H1034" i="4"/>
  <c r="I1034" i="4"/>
  <c r="J1034" i="4"/>
  <c r="K1034" i="4"/>
  <c r="L1034" i="4"/>
  <c r="B1035" i="4"/>
  <c r="C1035" i="4"/>
  <c r="D1035" i="4"/>
  <c r="E1035" i="4"/>
  <c r="F1035" i="4"/>
  <c r="G1035" i="4"/>
  <c r="H1035" i="4"/>
  <c r="I1035" i="4"/>
  <c r="J1035" i="4"/>
  <c r="K1035" i="4"/>
  <c r="L1035" i="4"/>
  <c r="B1036" i="4"/>
  <c r="C1036" i="4"/>
  <c r="D1036" i="4"/>
  <c r="E1036" i="4"/>
  <c r="F1036" i="4"/>
  <c r="G1036" i="4"/>
  <c r="H1036" i="4"/>
  <c r="I1036" i="4"/>
  <c r="J1036" i="4"/>
  <c r="K1036" i="4"/>
  <c r="L1036" i="4"/>
  <c r="B1037" i="4"/>
  <c r="C1037" i="4"/>
  <c r="D1037" i="4"/>
  <c r="E1037" i="4"/>
  <c r="F1037" i="4"/>
  <c r="G1037" i="4"/>
  <c r="H1037" i="4"/>
  <c r="I1037" i="4"/>
  <c r="J1037" i="4"/>
  <c r="K1037" i="4"/>
  <c r="L1037" i="4"/>
  <c r="B1038" i="4"/>
  <c r="C1038" i="4"/>
  <c r="D1038" i="4"/>
  <c r="E1038" i="4"/>
  <c r="F1038" i="4"/>
  <c r="G1038" i="4"/>
  <c r="H1038" i="4"/>
  <c r="I1038" i="4"/>
  <c r="J1038" i="4"/>
  <c r="K1038" i="4"/>
  <c r="L1038" i="4"/>
  <c r="B1039" i="4"/>
  <c r="C1039" i="4"/>
  <c r="D1039" i="4"/>
  <c r="E1039" i="4"/>
  <c r="F1039" i="4"/>
  <c r="G1039" i="4"/>
  <c r="H1039" i="4"/>
  <c r="I1039" i="4"/>
  <c r="J1039" i="4"/>
  <c r="K1039" i="4"/>
  <c r="L1039" i="4"/>
  <c r="B1040" i="4"/>
  <c r="C1040" i="4"/>
  <c r="D1040" i="4"/>
  <c r="E1040" i="4"/>
  <c r="F1040" i="4"/>
  <c r="G1040" i="4"/>
  <c r="H1040" i="4"/>
  <c r="I1040" i="4"/>
  <c r="J1040" i="4"/>
  <c r="K1040" i="4"/>
  <c r="L1040" i="4"/>
  <c r="B1041" i="4"/>
  <c r="C1041" i="4"/>
  <c r="D1041" i="4"/>
  <c r="E1041" i="4"/>
  <c r="F1041" i="4"/>
  <c r="G1041" i="4"/>
  <c r="H1041" i="4"/>
  <c r="I1041" i="4"/>
  <c r="J1041" i="4"/>
  <c r="K1041" i="4"/>
  <c r="L1041" i="4"/>
  <c r="B1042" i="4"/>
  <c r="C1042" i="4"/>
  <c r="D1042" i="4"/>
  <c r="E1042" i="4"/>
  <c r="F1042" i="4"/>
  <c r="G1042" i="4"/>
  <c r="H1042" i="4"/>
  <c r="I1042" i="4"/>
  <c r="J1042" i="4"/>
  <c r="K1042" i="4"/>
  <c r="L1042" i="4"/>
  <c r="B1043" i="4"/>
  <c r="C1043" i="4"/>
  <c r="D1043" i="4"/>
  <c r="E1043" i="4"/>
  <c r="F1043" i="4"/>
  <c r="G1043" i="4"/>
  <c r="H1043" i="4"/>
  <c r="I1043" i="4"/>
  <c r="J1043" i="4"/>
  <c r="K1043" i="4"/>
  <c r="L1043" i="4"/>
  <c r="B1044" i="4"/>
  <c r="C1044" i="4"/>
  <c r="D1044" i="4"/>
  <c r="E1044" i="4"/>
  <c r="F1044" i="4"/>
  <c r="G1044" i="4"/>
  <c r="H1044" i="4"/>
  <c r="I1044" i="4"/>
  <c r="J1044" i="4"/>
  <c r="K1044" i="4"/>
  <c r="L1044" i="4"/>
  <c r="B1045" i="4"/>
  <c r="C1045" i="4"/>
  <c r="D1045" i="4"/>
  <c r="E1045" i="4"/>
  <c r="F1045" i="4"/>
  <c r="G1045" i="4"/>
  <c r="H1045" i="4"/>
  <c r="I1045" i="4"/>
  <c r="J1045" i="4"/>
  <c r="K1045" i="4"/>
  <c r="L1045" i="4"/>
  <c r="B1046" i="4"/>
  <c r="C1046" i="4"/>
  <c r="D1046" i="4"/>
  <c r="E1046" i="4"/>
  <c r="F1046" i="4"/>
  <c r="G1046" i="4"/>
  <c r="H1046" i="4"/>
  <c r="I1046" i="4"/>
  <c r="J1046" i="4"/>
  <c r="K1046" i="4"/>
  <c r="L1046" i="4"/>
  <c r="B1047" i="4"/>
  <c r="C1047" i="4"/>
  <c r="D1047" i="4"/>
  <c r="E1047" i="4"/>
  <c r="F1047" i="4"/>
  <c r="G1047" i="4"/>
  <c r="H1047" i="4"/>
  <c r="I1047" i="4"/>
  <c r="J1047" i="4"/>
  <c r="K1047" i="4"/>
  <c r="L1047" i="4"/>
  <c r="B1048" i="4"/>
  <c r="C1048" i="4"/>
  <c r="D1048" i="4"/>
  <c r="E1048" i="4"/>
  <c r="F1048" i="4"/>
  <c r="G1048" i="4"/>
  <c r="H1048" i="4"/>
  <c r="I1048" i="4"/>
  <c r="J1048" i="4"/>
  <c r="K1048" i="4"/>
  <c r="L1048" i="4"/>
  <c r="B1049" i="4"/>
  <c r="C1049" i="4"/>
  <c r="D1049" i="4"/>
  <c r="E1049" i="4"/>
  <c r="F1049" i="4"/>
  <c r="G1049" i="4"/>
  <c r="H1049" i="4"/>
  <c r="I1049" i="4"/>
  <c r="J1049" i="4"/>
  <c r="K1049" i="4"/>
  <c r="L1049" i="4"/>
  <c r="B1050" i="4"/>
  <c r="C1050" i="4"/>
  <c r="D1050" i="4"/>
  <c r="E1050" i="4"/>
  <c r="F1050" i="4"/>
  <c r="G1050" i="4"/>
  <c r="H1050" i="4"/>
  <c r="I1050" i="4"/>
  <c r="J1050" i="4"/>
  <c r="K1050" i="4"/>
  <c r="L1050" i="4"/>
  <c r="B1051" i="4"/>
  <c r="C1051" i="4"/>
  <c r="D1051" i="4"/>
  <c r="E1051" i="4"/>
  <c r="F1051" i="4"/>
  <c r="G1051" i="4"/>
  <c r="H1051" i="4"/>
  <c r="I1051" i="4"/>
  <c r="J1051" i="4"/>
  <c r="K1051" i="4"/>
  <c r="L1051" i="4"/>
  <c r="B1052" i="4"/>
  <c r="C1052" i="4"/>
  <c r="D1052" i="4"/>
  <c r="E1052" i="4"/>
  <c r="F1052" i="4"/>
  <c r="G1052" i="4"/>
  <c r="H1052" i="4"/>
  <c r="I1052" i="4"/>
  <c r="J1052" i="4"/>
  <c r="K1052" i="4"/>
  <c r="L1052" i="4"/>
  <c r="B1053" i="4"/>
  <c r="C1053" i="4"/>
  <c r="D1053" i="4"/>
  <c r="E1053" i="4"/>
  <c r="F1053" i="4"/>
  <c r="G1053" i="4"/>
  <c r="H1053" i="4"/>
  <c r="I1053" i="4"/>
  <c r="J1053" i="4"/>
  <c r="K1053" i="4"/>
  <c r="L1053" i="4"/>
  <c r="B1054" i="4"/>
  <c r="C1054" i="4"/>
  <c r="D1054" i="4"/>
  <c r="E1054" i="4"/>
  <c r="F1054" i="4"/>
  <c r="G1054" i="4"/>
  <c r="H1054" i="4"/>
  <c r="I1054" i="4"/>
  <c r="J1054" i="4"/>
  <c r="K1054" i="4"/>
  <c r="L1054" i="4"/>
  <c r="B1055" i="4"/>
  <c r="C1055" i="4"/>
  <c r="D1055" i="4"/>
  <c r="E1055" i="4"/>
  <c r="F1055" i="4"/>
  <c r="G1055" i="4"/>
  <c r="H1055" i="4"/>
  <c r="I1055" i="4"/>
  <c r="J1055" i="4"/>
  <c r="K1055" i="4"/>
  <c r="L1055" i="4"/>
  <c r="B1056" i="4"/>
  <c r="C1056" i="4"/>
  <c r="D1056" i="4"/>
  <c r="E1056" i="4"/>
  <c r="F1056" i="4"/>
  <c r="G1056" i="4"/>
  <c r="H1056" i="4"/>
  <c r="I1056" i="4"/>
  <c r="J1056" i="4"/>
  <c r="K1056" i="4"/>
  <c r="L1056" i="4"/>
  <c r="B1057" i="4"/>
  <c r="C1057" i="4"/>
  <c r="D1057" i="4"/>
  <c r="E1057" i="4"/>
  <c r="F1057" i="4"/>
  <c r="G1057" i="4"/>
  <c r="H1057" i="4"/>
  <c r="I1057" i="4"/>
  <c r="J1057" i="4"/>
  <c r="K1057" i="4"/>
  <c r="L1057" i="4"/>
  <c r="B1058" i="4"/>
  <c r="C1058" i="4"/>
  <c r="D1058" i="4"/>
  <c r="E1058" i="4"/>
  <c r="F1058" i="4"/>
  <c r="G1058" i="4"/>
  <c r="H1058" i="4"/>
  <c r="I1058" i="4"/>
  <c r="J1058" i="4"/>
  <c r="K1058" i="4"/>
  <c r="L1058" i="4"/>
  <c r="B1059" i="4"/>
  <c r="C1059" i="4"/>
  <c r="D1059" i="4"/>
  <c r="E1059" i="4"/>
  <c r="F1059" i="4"/>
  <c r="G1059" i="4"/>
  <c r="H1059" i="4"/>
  <c r="I1059" i="4"/>
  <c r="J1059" i="4"/>
  <c r="K1059" i="4"/>
  <c r="L1059" i="4"/>
  <c r="B1060" i="4"/>
  <c r="C1060" i="4"/>
  <c r="D1060" i="4"/>
  <c r="E1060" i="4"/>
  <c r="F1060" i="4"/>
  <c r="G1060" i="4"/>
  <c r="H1060" i="4"/>
  <c r="I1060" i="4"/>
  <c r="J1060" i="4"/>
  <c r="K1060" i="4"/>
  <c r="L1060" i="4"/>
  <c r="B1061" i="4"/>
  <c r="C1061" i="4"/>
  <c r="D1061" i="4"/>
  <c r="E1061" i="4"/>
  <c r="F1061" i="4"/>
  <c r="G1061" i="4"/>
  <c r="H1061" i="4"/>
  <c r="I1061" i="4"/>
  <c r="J1061" i="4"/>
  <c r="K1061" i="4"/>
  <c r="L1061" i="4"/>
  <c r="B1062" i="4"/>
  <c r="C1062" i="4"/>
  <c r="D1062" i="4"/>
  <c r="E1062" i="4"/>
  <c r="F1062" i="4"/>
  <c r="G1062" i="4"/>
  <c r="H1062" i="4"/>
  <c r="I1062" i="4"/>
  <c r="J1062" i="4"/>
  <c r="K1062" i="4"/>
  <c r="L1062" i="4"/>
  <c r="B1063" i="4"/>
  <c r="C1063" i="4"/>
  <c r="D1063" i="4"/>
  <c r="E1063" i="4"/>
  <c r="F1063" i="4"/>
  <c r="G1063" i="4"/>
  <c r="H1063" i="4"/>
  <c r="I1063" i="4"/>
  <c r="J1063" i="4"/>
  <c r="K1063" i="4"/>
  <c r="L1063" i="4"/>
  <c r="B1064" i="4"/>
  <c r="C1064" i="4"/>
  <c r="D1064" i="4"/>
  <c r="E1064" i="4"/>
  <c r="F1064" i="4"/>
  <c r="G1064" i="4"/>
  <c r="H1064" i="4"/>
  <c r="I1064" i="4"/>
  <c r="J1064" i="4"/>
  <c r="K1064" i="4"/>
  <c r="L1064" i="4"/>
  <c r="B1065" i="4"/>
  <c r="C1065" i="4"/>
  <c r="D1065" i="4"/>
  <c r="E1065" i="4"/>
  <c r="F1065" i="4"/>
  <c r="G1065" i="4"/>
  <c r="H1065" i="4"/>
  <c r="I1065" i="4"/>
  <c r="J1065" i="4"/>
  <c r="K1065" i="4"/>
  <c r="L1065" i="4"/>
  <c r="B1066" i="4"/>
  <c r="C1066" i="4"/>
  <c r="D1066" i="4"/>
  <c r="E1066" i="4"/>
  <c r="F1066" i="4"/>
  <c r="G1066" i="4"/>
  <c r="H1066" i="4"/>
  <c r="I1066" i="4"/>
  <c r="J1066" i="4"/>
  <c r="K1066" i="4"/>
  <c r="L1066" i="4"/>
  <c r="B1067" i="4"/>
  <c r="C1067" i="4"/>
  <c r="D1067" i="4"/>
  <c r="E1067" i="4"/>
  <c r="F1067" i="4"/>
  <c r="G1067" i="4"/>
  <c r="H1067" i="4"/>
  <c r="I1067" i="4"/>
  <c r="J1067" i="4"/>
  <c r="K1067" i="4"/>
  <c r="L1067" i="4"/>
  <c r="B1068" i="4"/>
  <c r="C1068" i="4"/>
  <c r="D1068" i="4"/>
  <c r="E1068" i="4"/>
  <c r="F1068" i="4"/>
  <c r="G1068" i="4"/>
  <c r="H1068" i="4"/>
  <c r="I1068" i="4"/>
  <c r="J1068" i="4"/>
  <c r="K1068" i="4"/>
  <c r="L1068" i="4"/>
  <c r="B1069" i="4"/>
  <c r="C1069" i="4"/>
  <c r="D1069" i="4"/>
  <c r="E1069" i="4"/>
  <c r="F1069" i="4"/>
  <c r="G1069" i="4"/>
  <c r="H1069" i="4"/>
  <c r="I1069" i="4"/>
  <c r="J1069" i="4"/>
  <c r="K1069" i="4"/>
  <c r="L1069" i="4"/>
  <c r="B1070" i="4"/>
  <c r="C1070" i="4"/>
  <c r="D1070" i="4"/>
  <c r="E1070" i="4"/>
  <c r="F1070" i="4"/>
  <c r="G1070" i="4"/>
  <c r="H1070" i="4"/>
  <c r="I1070" i="4"/>
  <c r="J1070" i="4"/>
  <c r="K1070" i="4"/>
  <c r="L1070" i="4"/>
  <c r="B1071" i="4"/>
  <c r="C1071" i="4"/>
  <c r="D1071" i="4"/>
  <c r="E1071" i="4"/>
  <c r="F1071" i="4"/>
  <c r="G1071" i="4"/>
  <c r="H1071" i="4"/>
  <c r="I1071" i="4"/>
  <c r="J1071" i="4"/>
  <c r="K1071" i="4"/>
  <c r="L1071" i="4"/>
  <c r="B1072" i="4"/>
  <c r="C1072" i="4"/>
  <c r="D1072" i="4"/>
  <c r="E1072" i="4"/>
  <c r="F1072" i="4"/>
  <c r="G1072" i="4"/>
  <c r="H1072" i="4"/>
  <c r="I1072" i="4"/>
  <c r="J1072" i="4"/>
  <c r="K1072" i="4"/>
  <c r="L1072" i="4"/>
  <c r="B1073" i="4"/>
  <c r="C1073" i="4"/>
  <c r="D1073" i="4"/>
  <c r="E1073" i="4"/>
  <c r="F1073" i="4"/>
  <c r="G1073" i="4"/>
  <c r="H1073" i="4"/>
  <c r="I1073" i="4"/>
  <c r="J1073" i="4"/>
  <c r="K1073" i="4"/>
  <c r="L1073" i="4"/>
  <c r="B1074" i="4"/>
  <c r="C1074" i="4"/>
  <c r="D1074" i="4"/>
  <c r="E1074" i="4"/>
  <c r="F1074" i="4"/>
  <c r="G1074" i="4"/>
  <c r="H1074" i="4"/>
  <c r="I1074" i="4"/>
  <c r="J1074" i="4"/>
  <c r="K1074" i="4"/>
  <c r="L1074" i="4"/>
  <c r="B1075" i="4"/>
  <c r="C1075" i="4"/>
  <c r="D1075" i="4"/>
  <c r="E1075" i="4"/>
  <c r="F1075" i="4"/>
  <c r="G1075" i="4"/>
  <c r="H1075" i="4"/>
  <c r="I1075" i="4"/>
  <c r="J1075" i="4"/>
  <c r="K1075" i="4"/>
  <c r="L1075" i="4"/>
  <c r="B1076" i="4"/>
  <c r="C1076" i="4"/>
  <c r="D1076" i="4"/>
  <c r="E1076" i="4"/>
  <c r="F1076" i="4"/>
  <c r="G1076" i="4"/>
  <c r="H1076" i="4"/>
  <c r="I1076" i="4"/>
  <c r="J1076" i="4"/>
  <c r="K1076" i="4"/>
  <c r="L1076" i="4"/>
  <c r="B1077" i="4"/>
  <c r="C1077" i="4"/>
  <c r="D1077" i="4"/>
  <c r="E1077" i="4"/>
  <c r="F1077" i="4"/>
  <c r="G1077" i="4"/>
  <c r="H1077" i="4"/>
  <c r="I1077" i="4"/>
  <c r="J1077" i="4"/>
  <c r="K1077" i="4"/>
  <c r="L1077" i="4"/>
  <c r="B1078" i="4"/>
  <c r="C1078" i="4"/>
  <c r="D1078" i="4"/>
  <c r="E1078" i="4"/>
  <c r="F1078" i="4"/>
  <c r="G1078" i="4"/>
  <c r="H1078" i="4"/>
  <c r="I1078" i="4"/>
  <c r="J1078" i="4"/>
  <c r="K1078" i="4"/>
  <c r="L1078" i="4"/>
  <c r="B1079" i="4"/>
  <c r="C1079" i="4"/>
  <c r="D1079" i="4"/>
  <c r="E1079" i="4"/>
  <c r="F1079" i="4"/>
  <c r="G1079" i="4"/>
  <c r="H1079" i="4"/>
  <c r="I1079" i="4"/>
  <c r="J1079" i="4"/>
  <c r="K1079" i="4"/>
  <c r="L1079" i="4"/>
  <c r="B1080" i="4"/>
  <c r="C1080" i="4"/>
  <c r="D1080" i="4"/>
  <c r="E1080" i="4"/>
  <c r="F1080" i="4"/>
  <c r="G1080" i="4"/>
  <c r="H1080" i="4"/>
  <c r="I1080" i="4"/>
  <c r="J1080" i="4"/>
  <c r="K1080" i="4"/>
  <c r="L1080" i="4"/>
  <c r="B1081" i="4"/>
  <c r="C1081" i="4"/>
  <c r="D1081" i="4"/>
  <c r="E1081" i="4"/>
  <c r="F1081" i="4"/>
  <c r="G1081" i="4"/>
  <c r="H1081" i="4"/>
  <c r="I1081" i="4"/>
  <c r="J1081" i="4"/>
  <c r="K1081" i="4"/>
  <c r="L1081" i="4"/>
  <c r="B1082" i="4"/>
  <c r="C1082" i="4"/>
  <c r="D1082" i="4"/>
  <c r="E1082" i="4"/>
  <c r="F1082" i="4"/>
  <c r="G1082" i="4"/>
  <c r="H1082" i="4"/>
  <c r="I1082" i="4"/>
  <c r="J1082" i="4"/>
  <c r="K1082" i="4"/>
  <c r="L1082" i="4"/>
  <c r="B1083" i="4"/>
  <c r="C1083" i="4"/>
  <c r="D1083" i="4"/>
  <c r="E1083" i="4"/>
  <c r="F1083" i="4"/>
  <c r="G1083" i="4"/>
  <c r="H1083" i="4"/>
  <c r="I1083" i="4"/>
  <c r="J1083" i="4"/>
  <c r="K1083" i="4"/>
  <c r="L1083" i="4"/>
  <c r="B1084" i="4"/>
  <c r="C1084" i="4"/>
  <c r="D1084" i="4"/>
  <c r="E1084" i="4"/>
  <c r="F1084" i="4"/>
  <c r="G1084" i="4"/>
  <c r="H1084" i="4"/>
  <c r="I1084" i="4"/>
  <c r="J1084" i="4"/>
  <c r="K1084" i="4"/>
  <c r="L1084" i="4"/>
  <c r="B1085" i="4"/>
  <c r="C1085" i="4"/>
  <c r="D1085" i="4"/>
  <c r="E1085" i="4"/>
  <c r="F1085" i="4"/>
  <c r="G1085" i="4"/>
  <c r="H1085" i="4"/>
  <c r="I1085" i="4"/>
  <c r="J1085" i="4"/>
  <c r="K1085" i="4"/>
  <c r="L1085" i="4"/>
  <c r="B1086" i="4"/>
  <c r="C1086" i="4"/>
  <c r="D1086" i="4"/>
  <c r="E1086" i="4"/>
  <c r="F1086" i="4"/>
  <c r="G1086" i="4"/>
  <c r="H1086" i="4"/>
  <c r="I1086" i="4"/>
  <c r="J1086" i="4"/>
  <c r="K1086" i="4"/>
  <c r="L1086" i="4"/>
  <c r="B1087" i="4"/>
  <c r="C1087" i="4"/>
  <c r="D1087" i="4"/>
  <c r="E1087" i="4"/>
  <c r="F1087" i="4"/>
  <c r="G1087" i="4"/>
  <c r="H1087" i="4"/>
  <c r="I1087" i="4"/>
  <c r="J1087" i="4"/>
  <c r="K1087" i="4"/>
  <c r="L1087" i="4"/>
  <c r="B1088" i="4"/>
  <c r="C1088" i="4"/>
  <c r="D1088" i="4"/>
  <c r="E1088" i="4"/>
  <c r="F1088" i="4"/>
  <c r="G1088" i="4"/>
  <c r="H1088" i="4"/>
  <c r="I1088" i="4"/>
  <c r="J1088" i="4"/>
  <c r="K1088" i="4"/>
  <c r="L1088" i="4"/>
  <c r="B1089" i="4"/>
  <c r="C1089" i="4"/>
  <c r="D1089" i="4"/>
  <c r="E1089" i="4"/>
  <c r="F1089" i="4"/>
  <c r="G1089" i="4"/>
  <c r="H1089" i="4"/>
  <c r="I1089" i="4"/>
  <c r="J1089" i="4"/>
  <c r="K1089" i="4"/>
  <c r="L1089" i="4"/>
  <c r="B1090" i="4"/>
  <c r="C1090" i="4"/>
  <c r="D1090" i="4"/>
  <c r="E1090" i="4"/>
  <c r="F1090" i="4"/>
  <c r="G1090" i="4"/>
  <c r="H1090" i="4"/>
  <c r="I1090" i="4"/>
  <c r="J1090" i="4"/>
  <c r="K1090" i="4"/>
  <c r="L1090" i="4"/>
  <c r="B1091" i="4"/>
  <c r="C1091" i="4"/>
  <c r="D1091" i="4"/>
  <c r="E1091" i="4"/>
  <c r="F1091" i="4"/>
  <c r="G1091" i="4"/>
  <c r="H1091" i="4"/>
  <c r="I1091" i="4"/>
  <c r="J1091" i="4"/>
  <c r="K1091" i="4"/>
  <c r="L1091" i="4"/>
  <c r="B1092" i="4"/>
  <c r="C1092" i="4"/>
  <c r="D1092" i="4"/>
  <c r="E1092" i="4"/>
  <c r="F1092" i="4"/>
  <c r="G1092" i="4"/>
  <c r="H1092" i="4"/>
  <c r="I1092" i="4"/>
  <c r="J1092" i="4"/>
  <c r="K1092" i="4"/>
  <c r="L1092" i="4"/>
  <c r="B1093" i="4"/>
  <c r="C1093" i="4"/>
  <c r="D1093" i="4"/>
  <c r="E1093" i="4"/>
  <c r="F1093" i="4"/>
  <c r="G1093" i="4"/>
  <c r="H1093" i="4"/>
  <c r="I1093" i="4"/>
  <c r="J1093" i="4"/>
  <c r="K1093" i="4"/>
  <c r="L1093" i="4"/>
  <c r="B1094" i="4"/>
  <c r="C1094" i="4"/>
  <c r="D1094" i="4"/>
  <c r="E1094" i="4"/>
  <c r="F1094" i="4"/>
  <c r="G1094" i="4"/>
  <c r="H1094" i="4"/>
  <c r="I1094" i="4"/>
  <c r="J1094" i="4"/>
  <c r="K1094" i="4"/>
  <c r="L1094" i="4"/>
  <c r="B1095" i="4"/>
  <c r="C1095" i="4"/>
  <c r="D1095" i="4"/>
  <c r="E1095" i="4"/>
  <c r="F1095" i="4"/>
  <c r="G1095" i="4"/>
  <c r="H1095" i="4"/>
  <c r="I1095" i="4"/>
  <c r="J1095" i="4"/>
  <c r="K1095" i="4"/>
  <c r="L1095" i="4"/>
  <c r="B1096" i="4"/>
  <c r="C1096" i="4"/>
  <c r="D1096" i="4"/>
  <c r="E1096" i="4"/>
  <c r="F1096" i="4"/>
  <c r="G1096" i="4"/>
  <c r="H1096" i="4"/>
  <c r="I1096" i="4"/>
  <c r="J1096" i="4"/>
  <c r="K1096" i="4"/>
  <c r="L1096" i="4"/>
  <c r="B1097" i="4"/>
  <c r="C1097" i="4"/>
  <c r="D1097" i="4"/>
  <c r="E1097" i="4"/>
  <c r="F1097" i="4"/>
  <c r="G1097" i="4"/>
  <c r="H1097" i="4"/>
  <c r="I1097" i="4"/>
  <c r="J1097" i="4"/>
  <c r="K1097" i="4"/>
  <c r="L1097" i="4"/>
  <c r="B1098" i="4"/>
  <c r="C1098" i="4"/>
  <c r="D1098" i="4"/>
  <c r="E1098" i="4"/>
  <c r="F1098" i="4"/>
  <c r="G1098" i="4"/>
  <c r="H1098" i="4"/>
  <c r="I1098" i="4"/>
  <c r="J1098" i="4"/>
  <c r="K1098" i="4"/>
  <c r="L1098" i="4"/>
  <c r="B1099" i="4"/>
  <c r="C1099" i="4"/>
  <c r="D1099" i="4"/>
  <c r="E1099" i="4"/>
  <c r="F1099" i="4"/>
  <c r="G1099" i="4"/>
  <c r="H1099" i="4"/>
  <c r="I1099" i="4"/>
  <c r="J1099" i="4"/>
  <c r="K1099" i="4"/>
  <c r="L1099" i="4"/>
  <c r="B1100" i="4"/>
  <c r="C1100" i="4"/>
  <c r="D1100" i="4"/>
  <c r="E1100" i="4"/>
  <c r="F1100" i="4"/>
  <c r="G1100" i="4"/>
  <c r="H1100" i="4"/>
  <c r="I1100" i="4"/>
  <c r="J1100" i="4"/>
  <c r="K1100" i="4"/>
  <c r="L1100" i="4"/>
  <c r="B1101" i="4"/>
  <c r="C1101" i="4"/>
  <c r="D1101" i="4"/>
  <c r="E1101" i="4"/>
  <c r="F1101" i="4"/>
  <c r="G1101" i="4"/>
  <c r="H1101" i="4"/>
  <c r="I1101" i="4"/>
  <c r="J1101" i="4"/>
  <c r="K1101" i="4"/>
  <c r="L1101" i="4"/>
  <c r="B1102" i="4"/>
  <c r="C1102" i="4"/>
  <c r="D1102" i="4"/>
  <c r="E1102" i="4"/>
  <c r="F1102" i="4"/>
  <c r="G1102" i="4"/>
  <c r="H1102" i="4"/>
  <c r="I1102" i="4"/>
  <c r="J1102" i="4"/>
  <c r="K1102" i="4"/>
  <c r="L1102" i="4"/>
  <c r="B1103" i="4"/>
  <c r="C1103" i="4"/>
  <c r="D1103" i="4"/>
  <c r="E1103" i="4"/>
  <c r="F1103" i="4"/>
  <c r="G1103" i="4"/>
  <c r="H1103" i="4"/>
  <c r="I1103" i="4"/>
  <c r="J1103" i="4"/>
  <c r="K1103" i="4"/>
  <c r="L1103" i="4"/>
  <c r="B1104" i="4"/>
  <c r="C1104" i="4"/>
  <c r="D1104" i="4"/>
  <c r="E1104" i="4"/>
  <c r="F1104" i="4"/>
  <c r="G1104" i="4"/>
  <c r="H1104" i="4"/>
  <c r="I1104" i="4"/>
  <c r="J1104" i="4"/>
  <c r="K1104" i="4"/>
  <c r="L1104" i="4"/>
  <c r="B1105" i="4"/>
  <c r="C1105" i="4"/>
  <c r="D1105" i="4"/>
  <c r="E1105" i="4"/>
  <c r="F1105" i="4"/>
  <c r="G1105" i="4"/>
  <c r="H1105" i="4"/>
  <c r="I1105" i="4"/>
  <c r="J1105" i="4"/>
  <c r="K1105" i="4"/>
  <c r="L1105" i="4"/>
  <c r="B1106" i="4"/>
  <c r="C1106" i="4"/>
  <c r="D1106" i="4"/>
  <c r="E1106" i="4"/>
  <c r="F1106" i="4"/>
  <c r="G1106" i="4"/>
  <c r="H1106" i="4"/>
  <c r="I1106" i="4"/>
  <c r="J1106" i="4"/>
  <c r="K1106" i="4"/>
  <c r="L1106" i="4"/>
  <c r="B1107" i="4"/>
  <c r="C1107" i="4"/>
  <c r="D1107" i="4"/>
  <c r="E1107" i="4"/>
  <c r="F1107" i="4"/>
  <c r="G1107" i="4"/>
  <c r="H1107" i="4"/>
  <c r="I1107" i="4"/>
  <c r="J1107" i="4"/>
  <c r="K1107" i="4"/>
  <c r="L1107" i="4"/>
  <c r="B1108" i="4"/>
  <c r="C1108" i="4"/>
  <c r="D1108" i="4"/>
  <c r="E1108" i="4"/>
  <c r="F1108" i="4"/>
  <c r="G1108" i="4"/>
  <c r="H1108" i="4"/>
  <c r="I1108" i="4"/>
  <c r="J1108" i="4"/>
  <c r="K1108" i="4"/>
  <c r="L1108" i="4"/>
  <c r="B1109" i="4"/>
  <c r="C1109" i="4"/>
  <c r="D1109" i="4"/>
  <c r="E1109" i="4"/>
  <c r="F1109" i="4"/>
  <c r="G1109" i="4"/>
  <c r="H1109" i="4"/>
  <c r="I1109" i="4"/>
  <c r="J1109" i="4"/>
  <c r="K1109" i="4"/>
  <c r="L1109" i="4"/>
  <c r="B1110" i="4"/>
  <c r="C1110" i="4"/>
  <c r="D1110" i="4"/>
  <c r="E1110" i="4"/>
  <c r="F1110" i="4"/>
  <c r="G1110" i="4"/>
  <c r="H1110" i="4"/>
  <c r="I1110" i="4"/>
  <c r="J1110" i="4"/>
  <c r="K1110" i="4"/>
  <c r="L1110" i="4"/>
  <c r="B1111" i="4"/>
  <c r="C1111" i="4"/>
  <c r="D1111" i="4"/>
  <c r="E1111" i="4"/>
  <c r="F1111" i="4"/>
  <c r="G1111" i="4"/>
  <c r="H1111" i="4"/>
  <c r="I1111" i="4"/>
  <c r="J1111" i="4"/>
  <c r="K1111" i="4"/>
  <c r="L1111" i="4"/>
  <c r="B1112" i="4"/>
  <c r="C1112" i="4"/>
  <c r="D1112" i="4"/>
  <c r="E1112" i="4"/>
  <c r="F1112" i="4"/>
  <c r="G1112" i="4"/>
  <c r="H1112" i="4"/>
  <c r="I1112" i="4"/>
  <c r="J1112" i="4"/>
  <c r="K1112" i="4"/>
  <c r="L1112" i="4"/>
  <c r="B1113" i="4"/>
  <c r="C1113" i="4"/>
  <c r="D1113" i="4"/>
  <c r="E1113" i="4"/>
  <c r="F1113" i="4"/>
  <c r="G1113" i="4"/>
  <c r="H1113" i="4"/>
  <c r="I1113" i="4"/>
  <c r="J1113" i="4"/>
  <c r="K1113" i="4"/>
  <c r="L1113" i="4"/>
  <c r="B1114" i="4"/>
  <c r="C1114" i="4"/>
  <c r="D1114" i="4"/>
  <c r="E1114" i="4"/>
  <c r="F1114" i="4"/>
  <c r="G1114" i="4"/>
  <c r="H1114" i="4"/>
  <c r="I1114" i="4"/>
  <c r="J1114" i="4"/>
  <c r="K1114" i="4"/>
  <c r="L1114" i="4"/>
  <c r="B1115" i="4"/>
  <c r="C1115" i="4"/>
  <c r="D1115" i="4"/>
  <c r="E1115" i="4"/>
  <c r="F1115" i="4"/>
  <c r="G1115" i="4"/>
  <c r="H1115" i="4"/>
  <c r="I1115" i="4"/>
  <c r="J1115" i="4"/>
  <c r="K1115" i="4"/>
  <c r="L1115" i="4"/>
  <c r="B1116" i="4"/>
  <c r="C1116" i="4"/>
  <c r="D1116" i="4"/>
  <c r="E1116" i="4"/>
  <c r="F1116" i="4"/>
  <c r="G1116" i="4"/>
  <c r="H1116" i="4"/>
  <c r="I1116" i="4"/>
  <c r="J1116" i="4"/>
  <c r="K1116" i="4"/>
  <c r="L1116" i="4"/>
  <c r="B1117" i="4"/>
  <c r="C1117" i="4"/>
  <c r="D1117" i="4"/>
  <c r="E1117" i="4"/>
  <c r="F1117" i="4"/>
  <c r="G1117" i="4"/>
  <c r="H1117" i="4"/>
  <c r="I1117" i="4"/>
  <c r="J1117" i="4"/>
  <c r="K1117" i="4"/>
  <c r="L1117" i="4"/>
  <c r="B1118" i="4"/>
  <c r="C1118" i="4"/>
  <c r="D1118" i="4"/>
  <c r="E1118" i="4"/>
  <c r="F1118" i="4"/>
  <c r="G1118" i="4"/>
  <c r="H1118" i="4"/>
  <c r="I1118" i="4"/>
  <c r="J1118" i="4"/>
  <c r="K1118" i="4"/>
  <c r="L1118" i="4"/>
  <c r="B1119" i="4"/>
  <c r="C1119" i="4"/>
  <c r="D1119" i="4"/>
  <c r="E1119" i="4"/>
  <c r="F1119" i="4"/>
  <c r="G1119" i="4"/>
  <c r="H1119" i="4"/>
  <c r="I1119" i="4"/>
  <c r="J1119" i="4"/>
  <c r="K1119" i="4"/>
  <c r="L1119" i="4"/>
  <c r="B1120" i="4"/>
  <c r="C1120" i="4"/>
  <c r="D1120" i="4"/>
  <c r="E1120" i="4"/>
  <c r="F1120" i="4"/>
  <c r="G1120" i="4"/>
  <c r="H1120" i="4"/>
  <c r="I1120" i="4"/>
  <c r="J1120" i="4"/>
  <c r="K1120" i="4"/>
  <c r="L1120" i="4"/>
  <c r="B1121" i="4"/>
  <c r="C1121" i="4"/>
  <c r="D1121" i="4"/>
  <c r="E1121" i="4"/>
  <c r="F1121" i="4"/>
  <c r="G1121" i="4"/>
  <c r="H1121" i="4"/>
  <c r="I1121" i="4"/>
  <c r="J1121" i="4"/>
  <c r="K1121" i="4"/>
  <c r="L1121" i="4"/>
  <c r="B1122" i="4"/>
  <c r="C1122" i="4"/>
  <c r="D1122" i="4"/>
  <c r="E1122" i="4"/>
  <c r="F1122" i="4"/>
  <c r="G1122" i="4"/>
  <c r="H1122" i="4"/>
  <c r="I1122" i="4"/>
  <c r="J1122" i="4"/>
  <c r="K1122" i="4"/>
  <c r="L1122" i="4"/>
  <c r="B1123" i="4"/>
  <c r="C1123" i="4"/>
  <c r="D1123" i="4"/>
  <c r="E1123" i="4"/>
  <c r="F1123" i="4"/>
  <c r="G1123" i="4"/>
  <c r="H1123" i="4"/>
  <c r="I1123" i="4"/>
  <c r="J1123" i="4"/>
  <c r="K1123" i="4"/>
  <c r="L1123" i="4"/>
  <c r="B1124" i="4"/>
  <c r="C1124" i="4"/>
  <c r="D1124" i="4"/>
  <c r="E1124" i="4"/>
  <c r="F1124" i="4"/>
  <c r="G1124" i="4"/>
  <c r="H1124" i="4"/>
  <c r="I1124" i="4"/>
  <c r="J1124" i="4"/>
  <c r="K1124" i="4"/>
  <c r="L1124" i="4"/>
  <c r="B1125" i="4"/>
  <c r="C1125" i="4"/>
  <c r="D1125" i="4"/>
  <c r="E1125" i="4"/>
  <c r="F1125" i="4"/>
  <c r="G1125" i="4"/>
  <c r="H1125" i="4"/>
  <c r="I1125" i="4"/>
  <c r="J1125" i="4"/>
  <c r="K1125" i="4"/>
  <c r="L1125" i="4"/>
  <c r="B1126" i="4"/>
  <c r="C1126" i="4"/>
  <c r="D1126" i="4"/>
  <c r="E1126" i="4"/>
  <c r="F1126" i="4"/>
  <c r="G1126" i="4"/>
  <c r="H1126" i="4"/>
  <c r="I1126" i="4"/>
  <c r="J1126" i="4"/>
  <c r="K1126" i="4"/>
  <c r="L1126" i="4"/>
  <c r="B1127" i="4"/>
  <c r="C1127" i="4"/>
  <c r="D1127" i="4"/>
  <c r="E1127" i="4"/>
  <c r="F1127" i="4"/>
  <c r="G1127" i="4"/>
  <c r="H1127" i="4"/>
  <c r="I1127" i="4"/>
  <c r="J1127" i="4"/>
  <c r="K1127" i="4"/>
  <c r="L1127" i="4"/>
  <c r="B1128" i="4"/>
  <c r="C1128" i="4"/>
  <c r="D1128" i="4"/>
  <c r="E1128" i="4"/>
  <c r="F1128" i="4"/>
  <c r="G1128" i="4"/>
  <c r="H1128" i="4"/>
  <c r="I1128" i="4"/>
  <c r="J1128" i="4"/>
  <c r="K1128" i="4"/>
  <c r="L1128" i="4"/>
  <c r="B1129" i="4"/>
  <c r="C1129" i="4"/>
  <c r="D1129" i="4"/>
  <c r="E1129" i="4"/>
  <c r="F1129" i="4"/>
  <c r="G1129" i="4"/>
  <c r="H1129" i="4"/>
  <c r="I1129" i="4"/>
  <c r="J1129" i="4"/>
  <c r="K1129" i="4"/>
  <c r="L1129" i="4"/>
  <c r="B1130" i="4"/>
  <c r="C1130" i="4"/>
  <c r="D1130" i="4"/>
  <c r="E1130" i="4"/>
  <c r="F1130" i="4"/>
  <c r="G1130" i="4"/>
  <c r="H1130" i="4"/>
  <c r="I1130" i="4"/>
  <c r="J1130" i="4"/>
  <c r="K1130" i="4"/>
  <c r="L1130" i="4"/>
  <c r="B1131" i="4"/>
  <c r="C1131" i="4"/>
  <c r="D1131" i="4"/>
  <c r="E1131" i="4"/>
  <c r="F1131" i="4"/>
  <c r="G1131" i="4"/>
  <c r="H1131" i="4"/>
  <c r="I1131" i="4"/>
  <c r="J1131" i="4"/>
  <c r="K1131" i="4"/>
  <c r="L1131" i="4"/>
  <c r="B1132" i="4"/>
  <c r="C1132" i="4"/>
  <c r="D1132" i="4"/>
  <c r="E1132" i="4"/>
  <c r="F1132" i="4"/>
  <c r="G1132" i="4"/>
  <c r="H1132" i="4"/>
  <c r="I1132" i="4"/>
  <c r="J1132" i="4"/>
  <c r="K1132" i="4"/>
  <c r="L1132" i="4"/>
  <c r="B1133" i="4"/>
  <c r="C1133" i="4"/>
  <c r="D1133" i="4"/>
  <c r="E1133" i="4"/>
  <c r="F1133" i="4"/>
  <c r="G1133" i="4"/>
  <c r="H1133" i="4"/>
  <c r="I1133" i="4"/>
  <c r="J1133" i="4"/>
  <c r="K1133" i="4"/>
  <c r="L1133" i="4"/>
  <c r="B1134" i="4"/>
  <c r="C1134" i="4"/>
  <c r="D1134" i="4"/>
  <c r="E1134" i="4"/>
  <c r="F1134" i="4"/>
  <c r="G1134" i="4"/>
  <c r="H1134" i="4"/>
  <c r="I1134" i="4"/>
  <c r="J1134" i="4"/>
  <c r="K1134" i="4"/>
  <c r="L1134" i="4"/>
  <c r="B1135" i="4"/>
  <c r="C1135" i="4"/>
  <c r="D1135" i="4"/>
  <c r="E1135" i="4"/>
  <c r="F1135" i="4"/>
  <c r="G1135" i="4"/>
  <c r="H1135" i="4"/>
  <c r="I1135" i="4"/>
  <c r="J1135" i="4"/>
  <c r="K1135" i="4"/>
  <c r="L1135" i="4"/>
  <c r="B1136" i="4"/>
  <c r="C1136" i="4"/>
  <c r="D1136" i="4"/>
  <c r="E1136" i="4"/>
  <c r="F1136" i="4"/>
  <c r="G1136" i="4"/>
  <c r="H1136" i="4"/>
  <c r="I1136" i="4"/>
  <c r="J1136" i="4"/>
  <c r="K1136" i="4"/>
  <c r="L1136" i="4"/>
  <c r="B1137" i="4"/>
  <c r="C1137" i="4"/>
  <c r="D1137" i="4"/>
  <c r="E1137" i="4"/>
  <c r="F1137" i="4"/>
  <c r="G1137" i="4"/>
  <c r="H1137" i="4"/>
  <c r="I1137" i="4"/>
  <c r="J1137" i="4"/>
  <c r="K1137" i="4"/>
  <c r="L1137" i="4"/>
  <c r="B1138" i="4"/>
  <c r="C1138" i="4"/>
  <c r="D1138" i="4"/>
  <c r="E1138" i="4"/>
  <c r="F1138" i="4"/>
  <c r="G1138" i="4"/>
  <c r="H1138" i="4"/>
  <c r="I1138" i="4"/>
  <c r="J1138" i="4"/>
  <c r="K1138" i="4"/>
  <c r="L1138" i="4"/>
  <c r="B1139" i="4"/>
  <c r="C1139" i="4"/>
  <c r="D1139" i="4"/>
  <c r="E1139" i="4"/>
  <c r="F1139" i="4"/>
  <c r="G1139" i="4"/>
  <c r="H1139" i="4"/>
  <c r="I1139" i="4"/>
  <c r="J1139" i="4"/>
  <c r="K1139" i="4"/>
  <c r="L1139" i="4"/>
  <c r="B1140" i="4"/>
  <c r="C1140" i="4"/>
  <c r="D1140" i="4"/>
  <c r="E1140" i="4"/>
  <c r="F1140" i="4"/>
  <c r="G1140" i="4"/>
  <c r="H1140" i="4"/>
  <c r="I1140" i="4"/>
  <c r="J1140" i="4"/>
  <c r="K1140" i="4"/>
  <c r="L1140" i="4"/>
  <c r="B1141" i="4"/>
  <c r="C1141" i="4"/>
  <c r="D1141" i="4"/>
  <c r="E1141" i="4"/>
  <c r="F1141" i="4"/>
  <c r="G1141" i="4"/>
  <c r="H1141" i="4"/>
  <c r="I1141" i="4"/>
  <c r="J1141" i="4"/>
  <c r="K1141" i="4"/>
  <c r="L1141" i="4"/>
  <c r="B1142" i="4"/>
  <c r="C1142" i="4"/>
  <c r="D1142" i="4"/>
  <c r="E1142" i="4"/>
  <c r="F1142" i="4"/>
  <c r="G1142" i="4"/>
  <c r="H1142" i="4"/>
  <c r="I1142" i="4"/>
  <c r="J1142" i="4"/>
  <c r="K1142" i="4"/>
  <c r="L1142" i="4"/>
  <c r="B1143" i="4"/>
  <c r="C1143" i="4"/>
  <c r="D1143" i="4"/>
  <c r="E1143" i="4"/>
  <c r="F1143" i="4"/>
  <c r="G1143" i="4"/>
  <c r="H1143" i="4"/>
  <c r="I1143" i="4"/>
  <c r="J1143" i="4"/>
  <c r="K1143" i="4"/>
  <c r="L1143" i="4"/>
  <c r="B1144" i="4"/>
  <c r="C1144" i="4"/>
  <c r="D1144" i="4"/>
  <c r="E1144" i="4"/>
  <c r="F1144" i="4"/>
  <c r="G1144" i="4"/>
  <c r="H1144" i="4"/>
  <c r="I1144" i="4"/>
  <c r="J1144" i="4"/>
  <c r="K1144" i="4"/>
  <c r="L1144" i="4"/>
  <c r="B1145" i="4"/>
  <c r="C1145" i="4"/>
  <c r="D1145" i="4"/>
  <c r="E1145" i="4"/>
  <c r="F1145" i="4"/>
  <c r="G1145" i="4"/>
  <c r="H1145" i="4"/>
  <c r="I1145" i="4"/>
  <c r="J1145" i="4"/>
  <c r="K1145" i="4"/>
  <c r="L1145" i="4"/>
  <c r="B1146" i="4"/>
  <c r="C1146" i="4"/>
  <c r="D1146" i="4"/>
  <c r="E1146" i="4"/>
  <c r="F1146" i="4"/>
  <c r="G1146" i="4"/>
  <c r="H1146" i="4"/>
  <c r="I1146" i="4"/>
  <c r="J1146" i="4"/>
  <c r="K1146" i="4"/>
  <c r="L1146" i="4"/>
  <c r="B1147" i="4"/>
  <c r="C1147" i="4"/>
  <c r="D1147" i="4"/>
  <c r="E1147" i="4"/>
  <c r="F1147" i="4"/>
  <c r="G1147" i="4"/>
  <c r="H1147" i="4"/>
  <c r="I1147" i="4"/>
  <c r="J1147" i="4"/>
  <c r="K1147" i="4"/>
  <c r="L1147" i="4"/>
  <c r="B1148" i="4"/>
  <c r="C1148" i="4"/>
  <c r="D1148" i="4"/>
  <c r="E1148" i="4"/>
  <c r="F1148" i="4"/>
  <c r="G1148" i="4"/>
  <c r="H1148" i="4"/>
  <c r="I1148" i="4"/>
  <c r="J1148" i="4"/>
  <c r="K1148" i="4"/>
  <c r="L1148" i="4"/>
  <c r="B1149" i="4"/>
  <c r="C1149" i="4"/>
  <c r="D1149" i="4"/>
  <c r="E1149" i="4"/>
  <c r="F1149" i="4"/>
  <c r="G1149" i="4"/>
  <c r="H1149" i="4"/>
  <c r="I1149" i="4"/>
  <c r="J1149" i="4"/>
  <c r="K1149" i="4"/>
  <c r="L1149" i="4"/>
  <c r="B1150" i="4"/>
  <c r="C1150" i="4"/>
  <c r="D1150" i="4"/>
  <c r="E1150" i="4"/>
  <c r="F1150" i="4"/>
  <c r="G1150" i="4"/>
  <c r="H1150" i="4"/>
  <c r="I1150" i="4"/>
  <c r="J1150" i="4"/>
  <c r="K1150" i="4"/>
  <c r="L1150" i="4"/>
  <c r="B1151" i="4"/>
  <c r="C1151" i="4"/>
  <c r="D1151" i="4"/>
  <c r="E1151" i="4"/>
  <c r="F1151" i="4"/>
  <c r="G1151" i="4"/>
  <c r="H1151" i="4"/>
  <c r="I1151" i="4"/>
  <c r="J1151" i="4"/>
  <c r="K1151" i="4"/>
  <c r="L1151" i="4"/>
  <c r="B1152" i="4"/>
  <c r="C1152" i="4"/>
  <c r="D1152" i="4"/>
  <c r="E1152" i="4"/>
  <c r="F1152" i="4"/>
  <c r="G1152" i="4"/>
  <c r="H1152" i="4"/>
  <c r="I1152" i="4"/>
  <c r="J1152" i="4"/>
  <c r="K1152" i="4"/>
  <c r="L1152" i="4"/>
  <c r="B1153" i="4"/>
  <c r="C1153" i="4"/>
  <c r="D1153" i="4"/>
  <c r="E1153" i="4"/>
  <c r="F1153" i="4"/>
  <c r="G1153" i="4"/>
  <c r="H1153" i="4"/>
  <c r="I1153" i="4"/>
  <c r="J1153" i="4"/>
  <c r="K1153" i="4"/>
  <c r="L1153" i="4"/>
  <c r="B1154" i="4"/>
  <c r="C1154" i="4"/>
  <c r="D1154" i="4"/>
  <c r="E1154" i="4"/>
  <c r="F1154" i="4"/>
  <c r="G1154" i="4"/>
  <c r="H1154" i="4"/>
  <c r="I1154" i="4"/>
  <c r="J1154" i="4"/>
  <c r="K1154" i="4"/>
  <c r="L1154" i="4"/>
  <c r="B1155" i="4"/>
  <c r="C1155" i="4"/>
  <c r="D1155" i="4"/>
  <c r="E1155" i="4"/>
  <c r="F1155" i="4"/>
  <c r="G1155" i="4"/>
  <c r="H1155" i="4"/>
  <c r="I1155" i="4"/>
  <c r="J1155" i="4"/>
  <c r="K1155" i="4"/>
  <c r="L1155" i="4"/>
  <c r="B1156" i="4"/>
  <c r="C1156" i="4"/>
  <c r="D1156" i="4"/>
  <c r="E1156" i="4"/>
  <c r="F1156" i="4"/>
  <c r="G1156" i="4"/>
  <c r="H1156" i="4"/>
  <c r="I1156" i="4"/>
  <c r="J1156" i="4"/>
  <c r="K1156" i="4"/>
  <c r="L1156" i="4"/>
  <c r="B1157" i="4"/>
  <c r="C1157" i="4"/>
  <c r="D1157" i="4"/>
  <c r="E1157" i="4"/>
  <c r="F1157" i="4"/>
  <c r="G1157" i="4"/>
  <c r="H1157" i="4"/>
  <c r="I1157" i="4"/>
  <c r="J1157" i="4"/>
  <c r="K1157" i="4"/>
  <c r="L1157" i="4"/>
  <c r="B1158" i="4"/>
  <c r="C1158" i="4"/>
  <c r="D1158" i="4"/>
  <c r="E1158" i="4"/>
  <c r="F1158" i="4"/>
  <c r="G1158" i="4"/>
  <c r="H1158" i="4"/>
  <c r="I1158" i="4"/>
  <c r="J1158" i="4"/>
  <c r="K1158" i="4"/>
  <c r="L1158" i="4"/>
  <c r="B1159" i="4"/>
  <c r="C1159" i="4"/>
  <c r="D1159" i="4"/>
  <c r="E1159" i="4"/>
  <c r="F1159" i="4"/>
  <c r="G1159" i="4"/>
  <c r="H1159" i="4"/>
  <c r="I1159" i="4"/>
  <c r="J1159" i="4"/>
  <c r="K1159" i="4"/>
  <c r="L1159" i="4"/>
  <c r="B1160" i="4"/>
  <c r="C1160" i="4"/>
  <c r="D1160" i="4"/>
  <c r="E1160" i="4"/>
  <c r="F1160" i="4"/>
  <c r="G1160" i="4"/>
  <c r="H1160" i="4"/>
  <c r="I1160" i="4"/>
  <c r="J1160" i="4"/>
  <c r="K1160" i="4"/>
  <c r="L1160" i="4"/>
  <c r="B1161" i="4"/>
  <c r="C1161" i="4"/>
  <c r="D1161" i="4"/>
  <c r="E1161" i="4"/>
  <c r="F1161" i="4"/>
  <c r="G1161" i="4"/>
  <c r="H1161" i="4"/>
  <c r="I1161" i="4"/>
  <c r="J1161" i="4"/>
  <c r="K1161" i="4"/>
  <c r="L1161" i="4"/>
  <c r="B1162" i="4"/>
  <c r="C1162" i="4"/>
  <c r="D1162" i="4"/>
  <c r="E1162" i="4"/>
  <c r="F1162" i="4"/>
  <c r="G1162" i="4"/>
  <c r="H1162" i="4"/>
  <c r="I1162" i="4"/>
  <c r="J1162" i="4"/>
  <c r="K1162" i="4"/>
  <c r="L1162" i="4"/>
  <c r="B1163" i="4"/>
  <c r="C1163" i="4"/>
  <c r="D1163" i="4"/>
  <c r="E1163" i="4"/>
  <c r="F1163" i="4"/>
  <c r="G1163" i="4"/>
  <c r="H1163" i="4"/>
  <c r="I1163" i="4"/>
  <c r="J1163" i="4"/>
  <c r="K1163" i="4"/>
  <c r="L1163" i="4"/>
  <c r="B1164" i="4"/>
  <c r="C1164" i="4"/>
  <c r="D1164" i="4"/>
  <c r="E1164" i="4"/>
  <c r="F1164" i="4"/>
  <c r="G1164" i="4"/>
  <c r="H1164" i="4"/>
  <c r="I1164" i="4"/>
  <c r="J1164" i="4"/>
  <c r="K1164" i="4"/>
  <c r="L1164" i="4"/>
  <c r="B1165" i="4"/>
  <c r="C1165" i="4"/>
  <c r="D1165" i="4"/>
  <c r="E1165" i="4"/>
  <c r="F1165" i="4"/>
  <c r="G1165" i="4"/>
  <c r="H1165" i="4"/>
  <c r="I1165" i="4"/>
  <c r="J1165" i="4"/>
  <c r="K1165" i="4"/>
  <c r="L1165" i="4"/>
  <c r="B1166" i="4"/>
  <c r="C1166" i="4"/>
  <c r="D1166" i="4"/>
  <c r="E1166" i="4"/>
  <c r="F1166" i="4"/>
  <c r="G1166" i="4"/>
  <c r="H1166" i="4"/>
  <c r="I1166" i="4"/>
  <c r="J1166" i="4"/>
  <c r="K1166" i="4"/>
  <c r="L1166" i="4"/>
  <c r="B1167" i="4"/>
  <c r="C1167" i="4"/>
  <c r="D1167" i="4"/>
  <c r="E1167" i="4"/>
  <c r="F1167" i="4"/>
  <c r="G1167" i="4"/>
  <c r="H1167" i="4"/>
  <c r="I1167" i="4"/>
  <c r="J1167" i="4"/>
  <c r="K1167" i="4"/>
  <c r="L1167" i="4"/>
  <c r="B1168" i="4"/>
  <c r="C1168" i="4"/>
  <c r="D1168" i="4"/>
  <c r="E1168" i="4"/>
  <c r="F1168" i="4"/>
  <c r="G1168" i="4"/>
  <c r="H1168" i="4"/>
  <c r="I1168" i="4"/>
  <c r="J1168" i="4"/>
  <c r="K1168" i="4"/>
  <c r="L1168" i="4"/>
  <c r="B1169" i="4"/>
  <c r="C1169" i="4"/>
  <c r="D1169" i="4"/>
  <c r="E1169" i="4"/>
  <c r="F1169" i="4"/>
  <c r="G1169" i="4"/>
  <c r="H1169" i="4"/>
  <c r="I1169" i="4"/>
  <c r="J1169" i="4"/>
  <c r="K1169" i="4"/>
  <c r="L1169" i="4"/>
  <c r="B1170" i="4"/>
  <c r="C1170" i="4"/>
  <c r="D1170" i="4"/>
  <c r="E1170" i="4"/>
  <c r="F1170" i="4"/>
  <c r="G1170" i="4"/>
  <c r="H1170" i="4"/>
  <c r="I1170" i="4"/>
  <c r="J1170" i="4"/>
  <c r="K1170" i="4"/>
  <c r="L1170" i="4"/>
  <c r="B1171" i="4"/>
  <c r="C1171" i="4"/>
  <c r="D1171" i="4"/>
  <c r="E1171" i="4"/>
  <c r="F1171" i="4"/>
  <c r="G1171" i="4"/>
  <c r="H1171" i="4"/>
  <c r="I1171" i="4"/>
  <c r="J1171" i="4"/>
  <c r="K1171" i="4"/>
  <c r="L1171" i="4"/>
  <c r="B1172" i="4"/>
  <c r="C1172" i="4"/>
  <c r="D1172" i="4"/>
  <c r="E1172" i="4"/>
  <c r="F1172" i="4"/>
  <c r="G1172" i="4"/>
  <c r="H1172" i="4"/>
  <c r="I1172" i="4"/>
  <c r="J1172" i="4"/>
  <c r="K1172" i="4"/>
  <c r="L1172" i="4"/>
  <c r="B1173" i="4"/>
  <c r="C1173" i="4"/>
  <c r="D1173" i="4"/>
  <c r="E1173" i="4"/>
  <c r="F1173" i="4"/>
  <c r="G1173" i="4"/>
  <c r="H1173" i="4"/>
  <c r="I1173" i="4"/>
  <c r="J1173" i="4"/>
  <c r="K1173" i="4"/>
  <c r="L1173" i="4"/>
  <c r="B1174" i="4"/>
  <c r="C1174" i="4"/>
  <c r="D1174" i="4"/>
  <c r="E1174" i="4"/>
  <c r="F1174" i="4"/>
  <c r="G1174" i="4"/>
  <c r="H1174" i="4"/>
  <c r="I1174" i="4"/>
  <c r="J1174" i="4"/>
  <c r="K1174" i="4"/>
  <c r="L1174" i="4"/>
  <c r="B1175" i="4"/>
  <c r="C1175" i="4"/>
  <c r="D1175" i="4"/>
  <c r="E1175" i="4"/>
  <c r="F1175" i="4"/>
  <c r="G1175" i="4"/>
  <c r="H1175" i="4"/>
  <c r="I1175" i="4"/>
  <c r="J1175" i="4"/>
  <c r="K1175" i="4"/>
  <c r="L1175" i="4"/>
  <c r="B1176" i="4"/>
  <c r="C1176" i="4"/>
  <c r="D1176" i="4"/>
  <c r="E1176" i="4"/>
  <c r="F1176" i="4"/>
  <c r="G1176" i="4"/>
  <c r="H1176" i="4"/>
  <c r="I1176" i="4"/>
  <c r="J1176" i="4"/>
  <c r="K1176" i="4"/>
  <c r="L1176" i="4"/>
  <c r="B1177" i="4"/>
  <c r="C1177" i="4"/>
  <c r="D1177" i="4"/>
  <c r="E1177" i="4"/>
  <c r="F1177" i="4"/>
  <c r="G1177" i="4"/>
  <c r="H1177" i="4"/>
  <c r="I1177" i="4"/>
  <c r="J1177" i="4"/>
  <c r="K1177" i="4"/>
  <c r="L1177" i="4"/>
  <c r="B1178" i="4"/>
  <c r="C1178" i="4"/>
  <c r="D1178" i="4"/>
  <c r="E1178" i="4"/>
  <c r="F1178" i="4"/>
  <c r="G1178" i="4"/>
  <c r="H1178" i="4"/>
  <c r="I1178" i="4"/>
  <c r="J1178" i="4"/>
  <c r="K1178" i="4"/>
  <c r="L1178" i="4"/>
  <c r="B1179" i="4"/>
  <c r="C1179" i="4"/>
  <c r="D1179" i="4"/>
  <c r="E1179" i="4"/>
  <c r="F1179" i="4"/>
  <c r="G1179" i="4"/>
  <c r="H1179" i="4"/>
  <c r="I1179" i="4"/>
  <c r="J1179" i="4"/>
  <c r="K1179" i="4"/>
  <c r="L1179" i="4"/>
  <c r="B1180" i="4"/>
  <c r="C1180" i="4"/>
  <c r="D1180" i="4"/>
  <c r="E1180" i="4"/>
  <c r="F1180" i="4"/>
  <c r="G1180" i="4"/>
  <c r="H1180" i="4"/>
  <c r="I1180" i="4"/>
  <c r="J1180" i="4"/>
  <c r="K1180" i="4"/>
  <c r="L1180" i="4"/>
  <c r="B1181" i="4"/>
  <c r="C1181" i="4"/>
  <c r="D1181" i="4"/>
  <c r="E1181" i="4"/>
  <c r="F1181" i="4"/>
  <c r="G1181" i="4"/>
  <c r="H1181" i="4"/>
  <c r="I1181" i="4"/>
  <c r="J1181" i="4"/>
  <c r="K1181" i="4"/>
  <c r="L1181" i="4"/>
  <c r="B1182" i="4"/>
  <c r="C1182" i="4"/>
  <c r="D1182" i="4"/>
  <c r="E1182" i="4"/>
  <c r="F1182" i="4"/>
  <c r="G1182" i="4"/>
  <c r="H1182" i="4"/>
  <c r="I1182" i="4"/>
  <c r="J1182" i="4"/>
  <c r="K1182" i="4"/>
  <c r="L1182" i="4"/>
  <c r="B1183" i="4"/>
  <c r="C1183" i="4"/>
  <c r="D1183" i="4"/>
  <c r="E1183" i="4"/>
  <c r="F1183" i="4"/>
  <c r="G1183" i="4"/>
  <c r="H1183" i="4"/>
  <c r="I1183" i="4"/>
  <c r="J1183" i="4"/>
  <c r="K1183" i="4"/>
  <c r="L1183" i="4"/>
  <c r="B1184" i="4"/>
  <c r="C1184" i="4"/>
  <c r="D1184" i="4"/>
  <c r="E1184" i="4"/>
  <c r="F1184" i="4"/>
  <c r="G1184" i="4"/>
  <c r="H1184" i="4"/>
  <c r="I1184" i="4"/>
  <c r="J1184" i="4"/>
  <c r="K1184" i="4"/>
  <c r="L1184" i="4"/>
  <c r="B1185" i="4"/>
  <c r="C1185" i="4"/>
  <c r="D1185" i="4"/>
  <c r="E1185" i="4"/>
  <c r="F1185" i="4"/>
  <c r="G1185" i="4"/>
  <c r="H1185" i="4"/>
  <c r="I1185" i="4"/>
  <c r="J1185" i="4"/>
  <c r="K1185" i="4"/>
  <c r="L1185" i="4"/>
  <c r="B1186" i="4"/>
  <c r="C1186" i="4"/>
  <c r="D1186" i="4"/>
  <c r="E1186" i="4"/>
  <c r="F1186" i="4"/>
  <c r="G1186" i="4"/>
  <c r="H1186" i="4"/>
  <c r="I1186" i="4"/>
  <c r="J1186" i="4"/>
  <c r="K1186" i="4"/>
  <c r="L1186" i="4"/>
  <c r="B1187" i="4"/>
  <c r="C1187" i="4"/>
  <c r="D1187" i="4"/>
  <c r="E1187" i="4"/>
  <c r="F1187" i="4"/>
  <c r="G1187" i="4"/>
  <c r="H1187" i="4"/>
  <c r="I1187" i="4"/>
  <c r="J1187" i="4"/>
  <c r="K1187" i="4"/>
  <c r="L1187" i="4"/>
  <c r="B1188" i="4"/>
  <c r="C1188" i="4"/>
  <c r="D1188" i="4"/>
  <c r="E1188" i="4"/>
  <c r="F1188" i="4"/>
  <c r="G1188" i="4"/>
  <c r="H1188" i="4"/>
  <c r="I1188" i="4"/>
  <c r="J1188" i="4"/>
  <c r="K1188" i="4"/>
  <c r="L1188" i="4"/>
  <c r="B1189" i="4"/>
  <c r="C1189" i="4"/>
  <c r="D1189" i="4"/>
  <c r="E1189" i="4"/>
  <c r="F1189" i="4"/>
  <c r="G1189" i="4"/>
  <c r="H1189" i="4"/>
  <c r="I1189" i="4"/>
  <c r="J1189" i="4"/>
  <c r="K1189" i="4"/>
  <c r="L1189" i="4"/>
  <c r="B1190" i="4"/>
  <c r="C1190" i="4"/>
  <c r="D1190" i="4"/>
  <c r="E1190" i="4"/>
  <c r="F1190" i="4"/>
  <c r="G1190" i="4"/>
  <c r="H1190" i="4"/>
  <c r="I1190" i="4"/>
  <c r="J1190" i="4"/>
  <c r="K1190" i="4"/>
  <c r="L1190" i="4"/>
  <c r="B1191" i="4"/>
  <c r="C1191" i="4"/>
  <c r="D1191" i="4"/>
  <c r="E1191" i="4"/>
  <c r="F1191" i="4"/>
  <c r="G1191" i="4"/>
  <c r="H1191" i="4"/>
  <c r="I1191" i="4"/>
  <c r="J1191" i="4"/>
  <c r="K1191" i="4"/>
  <c r="L1191" i="4"/>
  <c r="B1192" i="4"/>
  <c r="C1192" i="4"/>
  <c r="D1192" i="4"/>
  <c r="E1192" i="4"/>
  <c r="F1192" i="4"/>
  <c r="G1192" i="4"/>
  <c r="H1192" i="4"/>
  <c r="I1192" i="4"/>
  <c r="J1192" i="4"/>
  <c r="K1192" i="4"/>
  <c r="L1192" i="4"/>
  <c r="B1193" i="4"/>
  <c r="C1193" i="4"/>
  <c r="D1193" i="4"/>
  <c r="E1193" i="4"/>
  <c r="F1193" i="4"/>
  <c r="G1193" i="4"/>
  <c r="H1193" i="4"/>
  <c r="I1193" i="4"/>
  <c r="J1193" i="4"/>
  <c r="K1193" i="4"/>
  <c r="L1193" i="4"/>
  <c r="B1194" i="4"/>
  <c r="C1194" i="4"/>
  <c r="D1194" i="4"/>
  <c r="E1194" i="4"/>
  <c r="F1194" i="4"/>
  <c r="G1194" i="4"/>
  <c r="H1194" i="4"/>
  <c r="I1194" i="4"/>
  <c r="J1194" i="4"/>
  <c r="K1194" i="4"/>
  <c r="L1194" i="4"/>
  <c r="B1195" i="4"/>
  <c r="C1195" i="4"/>
  <c r="D1195" i="4"/>
  <c r="E1195" i="4"/>
  <c r="F1195" i="4"/>
  <c r="G1195" i="4"/>
  <c r="H1195" i="4"/>
  <c r="I1195" i="4"/>
  <c r="J1195" i="4"/>
  <c r="K1195" i="4"/>
  <c r="L1195" i="4"/>
  <c r="B1196" i="4"/>
  <c r="C1196" i="4"/>
  <c r="D1196" i="4"/>
  <c r="E1196" i="4"/>
  <c r="F1196" i="4"/>
  <c r="G1196" i="4"/>
  <c r="H1196" i="4"/>
  <c r="I1196" i="4"/>
  <c r="J1196" i="4"/>
  <c r="K1196" i="4"/>
  <c r="L1196" i="4"/>
  <c r="B1197" i="4"/>
  <c r="C1197" i="4"/>
  <c r="D1197" i="4"/>
  <c r="E1197" i="4"/>
  <c r="F1197" i="4"/>
  <c r="G1197" i="4"/>
  <c r="H1197" i="4"/>
  <c r="I1197" i="4"/>
  <c r="J1197" i="4"/>
  <c r="K1197" i="4"/>
  <c r="L1197" i="4"/>
  <c r="B1198" i="4"/>
  <c r="C1198" i="4"/>
  <c r="D1198" i="4"/>
  <c r="E1198" i="4"/>
  <c r="F1198" i="4"/>
  <c r="G1198" i="4"/>
  <c r="H1198" i="4"/>
  <c r="I1198" i="4"/>
  <c r="J1198" i="4"/>
  <c r="K1198" i="4"/>
  <c r="L1198" i="4"/>
  <c r="B1199" i="4"/>
  <c r="C1199" i="4"/>
  <c r="D1199" i="4"/>
  <c r="E1199" i="4"/>
  <c r="F1199" i="4"/>
  <c r="G1199" i="4"/>
  <c r="H1199" i="4"/>
  <c r="I1199" i="4"/>
  <c r="J1199" i="4"/>
  <c r="K1199" i="4"/>
  <c r="L1199" i="4"/>
  <c r="B1200" i="4"/>
  <c r="C1200" i="4"/>
  <c r="D1200" i="4"/>
  <c r="E1200" i="4"/>
  <c r="F1200" i="4"/>
  <c r="G1200" i="4"/>
  <c r="H1200" i="4"/>
  <c r="I1200" i="4"/>
  <c r="J1200" i="4"/>
  <c r="K1200" i="4"/>
  <c r="L1200" i="4"/>
  <c r="B1201" i="4"/>
  <c r="C1201" i="4"/>
  <c r="D1201" i="4"/>
  <c r="E1201" i="4"/>
  <c r="F1201" i="4"/>
  <c r="G1201" i="4"/>
  <c r="H1201" i="4"/>
  <c r="I1201" i="4"/>
  <c r="J1201" i="4"/>
  <c r="K1201" i="4"/>
  <c r="L1201" i="4"/>
  <c r="B1202" i="4"/>
  <c r="C1202" i="4"/>
  <c r="D1202" i="4"/>
  <c r="E1202" i="4"/>
  <c r="F1202" i="4"/>
  <c r="G1202" i="4"/>
  <c r="H1202" i="4"/>
  <c r="I1202" i="4"/>
  <c r="J1202" i="4"/>
  <c r="K1202" i="4"/>
  <c r="L1202" i="4"/>
  <c r="B1203" i="4"/>
  <c r="C1203" i="4"/>
  <c r="D1203" i="4"/>
  <c r="E1203" i="4"/>
  <c r="F1203" i="4"/>
  <c r="G1203" i="4"/>
  <c r="H1203" i="4"/>
  <c r="I1203" i="4"/>
  <c r="J1203" i="4"/>
  <c r="K1203" i="4"/>
  <c r="L1203" i="4"/>
  <c r="B1204" i="4"/>
  <c r="C1204" i="4"/>
  <c r="D1204" i="4"/>
  <c r="E1204" i="4"/>
  <c r="F1204" i="4"/>
  <c r="G1204" i="4"/>
  <c r="H1204" i="4"/>
  <c r="I1204" i="4"/>
  <c r="J1204" i="4"/>
  <c r="K1204" i="4"/>
  <c r="L1204" i="4"/>
  <c r="B1205" i="4"/>
  <c r="C1205" i="4"/>
  <c r="D1205" i="4"/>
  <c r="E1205" i="4"/>
  <c r="F1205" i="4"/>
  <c r="G1205" i="4"/>
  <c r="H1205" i="4"/>
  <c r="I1205" i="4"/>
  <c r="J1205" i="4"/>
  <c r="K1205" i="4"/>
  <c r="L1205" i="4"/>
  <c r="B1206" i="4"/>
  <c r="C1206" i="4"/>
  <c r="D1206" i="4"/>
  <c r="E1206" i="4"/>
  <c r="F1206" i="4"/>
  <c r="G1206" i="4"/>
  <c r="H1206" i="4"/>
  <c r="I1206" i="4"/>
  <c r="J1206" i="4"/>
  <c r="K1206" i="4"/>
  <c r="L1206" i="4"/>
  <c r="B1207" i="4"/>
  <c r="C1207" i="4"/>
  <c r="D1207" i="4"/>
  <c r="E1207" i="4"/>
  <c r="F1207" i="4"/>
  <c r="G1207" i="4"/>
  <c r="H1207" i="4"/>
  <c r="I1207" i="4"/>
  <c r="J1207" i="4"/>
  <c r="K1207" i="4"/>
  <c r="L1207" i="4"/>
  <c r="B1208" i="4"/>
  <c r="C1208" i="4"/>
  <c r="D1208" i="4"/>
  <c r="E1208" i="4"/>
  <c r="F1208" i="4"/>
  <c r="G1208" i="4"/>
  <c r="H1208" i="4"/>
  <c r="I1208" i="4"/>
  <c r="J1208" i="4"/>
  <c r="K1208" i="4"/>
  <c r="L1208" i="4"/>
  <c r="B1209" i="4"/>
  <c r="C1209" i="4"/>
  <c r="D1209" i="4"/>
  <c r="E1209" i="4"/>
  <c r="F1209" i="4"/>
  <c r="G1209" i="4"/>
  <c r="H1209" i="4"/>
  <c r="I1209" i="4"/>
  <c r="J1209" i="4"/>
  <c r="K1209" i="4"/>
  <c r="L1209" i="4"/>
  <c r="B1210" i="4"/>
  <c r="C1210" i="4"/>
  <c r="D1210" i="4"/>
  <c r="E1210" i="4"/>
  <c r="F1210" i="4"/>
  <c r="G1210" i="4"/>
  <c r="H1210" i="4"/>
  <c r="I1210" i="4"/>
  <c r="J1210" i="4"/>
  <c r="K1210" i="4"/>
  <c r="L1210" i="4"/>
  <c r="B1211" i="4"/>
  <c r="C1211" i="4"/>
  <c r="D1211" i="4"/>
  <c r="E1211" i="4"/>
  <c r="F1211" i="4"/>
  <c r="G1211" i="4"/>
  <c r="H1211" i="4"/>
  <c r="I1211" i="4"/>
  <c r="J1211" i="4"/>
  <c r="K1211" i="4"/>
  <c r="L1211" i="4"/>
  <c r="B1212" i="4"/>
  <c r="C1212" i="4"/>
  <c r="D1212" i="4"/>
  <c r="E1212" i="4"/>
  <c r="F1212" i="4"/>
  <c r="G1212" i="4"/>
  <c r="H1212" i="4"/>
  <c r="I1212" i="4"/>
  <c r="J1212" i="4"/>
  <c r="K1212" i="4"/>
  <c r="L1212" i="4"/>
  <c r="B1213" i="4"/>
  <c r="C1213" i="4"/>
  <c r="D1213" i="4"/>
  <c r="E1213" i="4"/>
  <c r="F1213" i="4"/>
  <c r="G1213" i="4"/>
  <c r="H1213" i="4"/>
  <c r="I1213" i="4"/>
  <c r="J1213" i="4"/>
  <c r="K1213" i="4"/>
  <c r="L1213" i="4"/>
  <c r="B1214" i="4"/>
  <c r="C1214" i="4"/>
  <c r="D1214" i="4"/>
  <c r="E1214" i="4"/>
  <c r="F1214" i="4"/>
  <c r="G1214" i="4"/>
  <c r="H1214" i="4"/>
  <c r="I1214" i="4"/>
  <c r="J1214" i="4"/>
  <c r="K1214" i="4"/>
  <c r="L1214" i="4"/>
  <c r="B1215" i="4"/>
  <c r="C1215" i="4"/>
  <c r="D1215" i="4"/>
  <c r="E1215" i="4"/>
  <c r="F1215" i="4"/>
  <c r="G1215" i="4"/>
  <c r="H1215" i="4"/>
  <c r="I1215" i="4"/>
  <c r="J1215" i="4"/>
  <c r="K1215" i="4"/>
  <c r="L1215" i="4"/>
  <c r="B1216" i="4"/>
  <c r="C1216" i="4"/>
  <c r="D1216" i="4"/>
  <c r="E1216" i="4"/>
  <c r="F1216" i="4"/>
  <c r="G1216" i="4"/>
  <c r="H1216" i="4"/>
  <c r="I1216" i="4"/>
  <c r="J1216" i="4"/>
  <c r="K1216" i="4"/>
  <c r="L1216" i="4"/>
  <c r="B1217" i="4"/>
  <c r="C1217" i="4"/>
  <c r="D1217" i="4"/>
  <c r="E1217" i="4"/>
  <c r="F1217" i="4"/>
  <c r="G1217" i="4"/>
  <c r="H1217" i="4"/>
  <c r="I1217" i="4"/>
  <c r="J1217" i="4"/>
  <c r="K1217" i="4"/>
  <c r="L1217" i="4"/>
  <c r="B1218" i="4"/>
  <c r="C1218" i="4"/>
  <c r="D1218" i="4"/>
  <c r="E1218" i="4"/>
  <c r="F1218" i="4"/>
  <c r="G1218" i="4"/>
  <c r="H1218" i="4"/>
  <c r="I1218" i="4"/>
  <c r="J1218" i="4"/>
  <c r="K1218" i="4"/>
  <c r="L1218" i="4"/>
  <c r="B1219" i="4"/>
  <c r="C1219" i="4"/>
  <c r="D1219" i="4"/>
  <c r="E1219" i="4"/>
  <c r="F1219" i="4"/>
  <c r="G1219" i="4"/>
  <c r="H1219" i="4"/>
  <c r="I1219" i="4"/>
  <c r="J1219" i="4"/>
  <c r="K1219" i="4"/>
  <c r="L1219" i="4"/>
  <c r="B1220" i="4"/>
  <c r="C1220" i="4"/>
  <c r="D1220" i="4"/>
  <c r="E1220" i="4"/>
  <c r="F1220" i="4"/>
  <c r="G1220" i="4"/>
  <c r="H1220" i="4"/>
  <c r="I1220" i="4"/>
  <c r="J1220" i="4"/>
  <c r="K1220" i="4"/>
  <c r="L1220" i="4"/>
  <c r="B1221" i="4"/>
  <c r="C1221" i="4"/>
  <c r="D1221" i="4"/>
  <c r="E1221" i="4"/>
  <c r="F1221" i="4"/>
  <c r="G1221" i="4"/>
  <c r="H1221" i="4"/>
  <c r="I1221" i="4"/>
  <c r="J1221" i="4"/>
  <c r="K1221" i="4"/>
  <c r="L1221" i="4"/>
  <c r="B1222" i="4"/>
  <c r="C1222" i="4"/>
  <c r="D1222" i="4"/>
  <c r="E1222" i="4"/>
  <c r="F1222" i="4"/>
  <c r="G1222" i="4"/>
  <c r="H1222" i="4"/>
  <c r="I1222" i="4"/>
  <c r="J1222" i="4"/>
  <c r="K1222" i="4"/>
  <c r="L1222" i="4"/>
  <c r="B1223" i="4"/>
  <c r="C1223" i="4"/>
  <c r="D1223" i="4"/>
  <c r="E1223" i="4"/>
  <c r="F1223" i="4"/>
  <c r="G1223" i="4"/>
  <c r="H1223" i="4"/>
  <c r="I1223" i="4"/>
  <c r="J1223" i="4"/>
  <c r="K1223" i="4"/>
  <c r="L1223" i="4"/>
  <c r="B1224" i="4"/>
  <c r="C1224" i="4"/>
  <c r="D1224" i="4"/>
  <c r="E1224" i="4"/>
  <c r="F1224" i="4"/>
  <c r="G1224" i="4"/>
  <c r="H1224" i="4"/>
  <c r="I1224" i="4"/>
  <c r="J1224" i="4"/>
  <c r="K1224" i="4"/>
  <c r="L1224" i="4"/>
  <c r="B1225" i="4"/>
  <c r="C1225" i="4"/>
  <c r="D1225" i="4"/>
  <c r="E1225" i="4"/>
  <c r="F1225" i="4"/>
  <c r="G1225" i="4"/>
  <c r="H1225" i="4"/>
  <c r="I1225" i="4"/>
  <c r="J1225" i="4"/>
  <c r="K1225" i="4"/>
  <c r="L1225" i="4"/>
  <c r="B1226" i="4"/>
  <c r="C1226" i="4"/>
  <c r="D1226" i="4"/>
  <c r="E1226" i="4"/>
  <c r="F1226" i="4"/>
  <c r="G1226" i="4"/>
  <c r="H1226" i="4"/>
  <c r="I1226" i="4"/>
  <c r="J1226" i="4"/>
  <c r="K1226" i="4"/>
  <c r="L1226" i="4"/>
  <c r="B1227" i="4"/>
  <c r="C1227" i="4"/>
  <c r="D1227" i="4"/>
  <c r="E1227" i="4"/>
  <c r="F1227" i="4"/>
  <c r="G1227" i="4"/>
  <c r="H1227" i="4"/>
  <c r="I1227" i="4"/>
  <c r="J1227" i="4"/>
  <c r="K1227" i="4"/>
  <c r="L1227" i="4"/>
  <c r="B1228" i="4"/>
  <c r="C1228" i="4"/>
  <c r="D1228" i="4"/>
  <c r="E1228" i="4"/>
  <c r="F1228" i="4"/>
  <c r="G1228" i="4"/>
  <c r="H1228" i="4"/>
  <c r="I1228" i="4"/>
  <c r="J1228" i="4"/>
  <c r="K1228" i="4"/>
  <c r="L1228" i="4"/>
  <c r="B1229" i="4"/>
  <c r="C1229" i="4"/>
  <c r="D1229" i="4"/>
  <c r="E1229" i="4"/>
  <c r="F1229" i="4"/>
  <c r="G1229" i="4"/>
  <c r="H1229" i="4"/>
  <c r="I1229" i="4"/>
  <c r="J1229" i="4"/>
  <c r="K1229" i="4"/>
  <c r="L1229" i="4"/>
  <c r="B1230" i="4"/>
  <c r="C1230" i="4"/>
  <c r="D1230" i="4"/>
  <c r="E1230" i="4"/>
  <c r="F1230" i="4"/>
  <c r="G1230" i="4"/>
  <c r="H1230" i="4"/>
  <c r="I1230" i="4"/>
  <c r="J1230" i="4"/>
  <c r="K1230" i="4"/>
  <c r="L1230" i="4"/>
  <c r="B1231" i="4"/>
  <c r="C1231" i="4"/>
  <c r="D1231" i="4"/>
  <c r="E1231" i="4"/>
  <c r="F1231" i="4"/>
  <c r="G1231" i="4"/>
  <c r="H1231" i="4"/>
  <c r="I1231" i="4"/>
  <c r="J1231" i="4"/>
  <c r="K1231" i="4"/>
  <c r="L1231" i="4"/>
  <c r="B1232" i="4"/>
  <c r="C1232" i="4"/>
  <c r="D1232" i="4"/>
  <c r="E1232" i="4"/>
  <c r="F1232" i="4"/>
  <c r="G1232" i="4"/>
  <c r="H1232" i="4"/>
  <c r="I1232" i="4"/>
  <c r="J1232" i="4"/>
  <c r="K1232" i="4"/>
  <c r="L1232" i="4"/>
  <c r="B1233" i="4"/>
  <c r="C1233" i="4"/>
  <c r="D1233" i="4"/>
  <c r="E1233" i="4"/>
  <c r="F1233" i="4"/>
  <c r="G1233" i="4"/>
  <c r="H1233" i="4"/>
  <c r="I1233" i="4"/>
  <c r="J1233" i="4"/>
  <c r="K1233" i="4"/>
  <c r="L1233" i="4"/>
  <c r="B1234" i="4"/>
  <c r="C1234" i="4"/>
  <c r="D1234" i="4"/>
  <c r="E1234" i="4"/>
  <c r="F1234" i="4"/>
  <c r="G1234" i="4"/>
  <c r="H1234" i="4"/>
  <c r="I1234" i="4"/>
  <c r="J1234" i="4"/>
  <c r="K1234" i="4"/>
  <c r="L1234" i="4"/>
  <c r="B1235" i="4"/>
  <c r="C1235" i="4"/>
  <c r="D1235" i="4"/>
  <c r="E1235" i="4"/>
  <c r="F1235" i="4"/>
  <c r="G1235" i="4"/>
  <c r="H1235" i="4"/>
  <c r="I1235" i="4"/>
  <c r="J1235" i="4"/>
  <c r="K1235" i="4"/>
  <c r="L1235" i="4"/>
  <c r="B1236" i="4"/>
  <c r="C1236" i="4"/>
  <c r="D1236" i="4"/>
  <c r="E1236" i="4"/>
  <c r="F1236" i="4"/>
  <c r="G1236" i="4"/>
  <c r="H1236" i="4"/>
  <c r="I1236" i="4"/>
  <c r="J1236" i="4"/>
  <c r="K1236" i="4"/>
  <c r="L1236" i="4"/>
  <c r="B1237" i="4"/>
  <c r="C1237" i="4"/>
  <c r="D1237" i="4"/>
  <c r="E1237" i="4"/>
  <c r="F1237" i="4"/>
  <c r="G1237" i="4"/>
  <c r="H1237" i="4"/>
  <c r="I1237" i="4"/>
  <c r="J1237" i="4"/>
  <c r="K1237" i="4"/>
  <c r="L1237" i="4"/>
  <c r="B1238" i="4"/>
  <c r="C1238" i="4"/>
  <c r="D1238" i="4"/>
  <c r="E1238" i="4"/>
  <c r="F1238" i="4"/>
  <c r="G1238" i="4"/>
  <c r="H1238" i="4"/>
  <c r="I1238" i="4"/>
  <c r="J1238" i="4"/>
  <c r="K1238" i="4"/>
  <c r="L1238" i="4"/>
  <c r="B1239" i="4"/>
  <c r="C1239" i="4"/>
  <c r="D1239" i="4"/>
  <c r="E1239" i="4"/>
  <c r="F1239" i="4"/>
  <c r="G1239" i="4"/>
  <c r="H1239" i="4"/>
  <c r="I1239" i="4"/>
  <c r="J1239" i="4"/>
  <c r="K1239" i="4"/>
  <c r="L1239" i="4"/>
  <c r="B1240" i="4"/>
  <c r="C1240" i="4"/>
  <c r="D1240" i="4"/>
  <c r="E1240" i="4"/>
  <c r="F1240" i="4"/>
  <c r="G1240" i="4"/>
  <c r="H1240" i="4"/>
  <c r="I1240" i="4"/>
  <c r="J1240" i="4"/>
  <c r="K1240" i="4"/>
  <c r="L1240" i="4"/>
  <c r="B1241" i="4"/>
  <c r="C1241" i="4"/>
  <c r="D1241" i="4"/>
  <c r="E1241" i="4"/>
  <c r="F1241" i="4"/>
  <c r="G1241" i="4"/>
  <c r="H1241" i="4"/>
  <c r="I1241" i="4"/>
  <c r="J1241" i="4"/>
  <c r="K1241" i="4"/>
  <c r="L1241" i="4"/>
  <c r="B1242" i="4"/>
  <c r="C1242" i="4"/>
  <c r="D1242" i="4"/>
  <c r="E1242" i="4"/>
  <c r="F1242" i="4"/>
  <c r="G1242" i="4"/>
  <c r="H1242" i="4"/>
  <c r="I1242" i="4"/>
  <c r="J1242" i="4"/>
  <c r="K1242" i="4"/>
  <c r="L1242" i="4"/>
  <c r="B1243" i="4"/>
  <c r="C1243" i="4"/>
  <c r="D1243" i="4"/>
  <c r="E1243" i="4"/>
  <c r="F1243" i="4"/>
  <c r="G1243" i="4"/>
  <c r="H1243" i="4"/>
  <c r="I1243" i="4"/>
  <c r="J1243" i="4"/>
  <c r="K1243" i="4"/>
  <c r="L1243" i="4"/>
  <c r="B1244" i="4"/>
  <c r="C1244" i="4"/>
  <c r="D1244" i="4"/>
  <c r="E1244" i="4"/>
  <c r="F1244" i="4"/>
  <c r="G1244" i="4"/>
  <c r="H1244" i="4"/>
  <c r="I1244" i="4"/>
  <c r="J1244" i="4"/>
  <c r="K1244" i="4"/>
  <c r="L1244" i="4"/>
  <c r="B1245" i="4"/>
  <c r="C1245" i="4"/>
  <c r="D1245" i="4"/>
  <c r="E1245" i="4"/>
  <c r="F1245" i="4"/>
  <c r="G1245" i="4"/>
  <c r="H1245" i="4"/>
  <c r="I1245" i="4"/>
  <c r="J1245" i="4"/>
  <c r="K1245" i="4"/>
  <c r="L1245" i="4"/>
  <c r="B1246" i="4"/>
  <c r="C1246" i="4"/>
  <c r="D1246" i="4"/>
  <c r="E1246" i="4"/>
  <c r="F1246" i="4"/>
  <c r="G1246" i="4"/>
  <c r="H1246" i="4"/>
  <c r="I1246" i="4"/>
  <c r="J1246" i="4"/>
  <c r="K1246" i="4"/>
  <c r="L1246" i="4"/>
  <c r="B1247" i="4"/>
  <c r="C1247" i="4"/>
  <c r="D1247" i="4"/>
  <c r="E1247" i="4"/>
  <c r="F1247" i="4"/>
  <c r="G1247" i="4"/>
  <c r="H1247" i="4"/>
  <c r="I1247" i="4"/>
  <c r="J1247" i="4"/>
  <c r="K1247" i="4"/>
  <c r="L1247" i="4"/>
  <c r="B1248" i="4"/>
  <c r="C1248" i="4"/>
  <c r="D1248" i="4"/>
  <c r="E1248" i="4"/>
  <c r="F1248" i="4"/>
  <c r="G1248" i="4"/>
  <c r="H1248" i="4"/>
  <c r="I1248" i="4"/>
  <c r="J1248" i="4"/>
  <c r="K1248" i="4"/>
  <c r="L1248" i="4"/>
  <c r="B1249" i="4"/>
  <c r="C1249" i="4"/>
  <c r="D1249" i="4"/>
  <c r="E1249" i="4"/>
  <c r="F1249" i="4"/>
  <c r="G1249" i="4"/>
  <c r="H1249" i="4"/>
  <c r="I1249" i="4"/>
  <c r="J1249" i="4"/>
  <c r="K1249" i="4"/>
  <c r="L1249" i="4"/>
  <c r="B1250" i="4"/>
  <c r="C1250" i="4"/>
  <c r="D1250" i="4"/>
  <c r="E1250" i="4"/>
  <c r="F1250" i="4"/>
  <c r="G1250" i="4"/>
  <c r="H1250" i="4"/>
  <c r="I1250" i="4"/>
  <c r="J1250" i="4"/>
  <c r="K1250" i="4"/>
  <c r="L1250" i="4"/>
  <c r="B1251" i="4"/>
  <c r="C1251" i="4"/>
  <c r="D1251" i="4"/>
  <c r="E1251" i="4"/>
  <c r="F1251" i="4"/>
  <c r="G1251" i="4"/>
  <c r="H1251" i="4"/>
  <c r="I1251" i="4"/>
  <c r="J1251" i="4"/>
  <c r="K1251" i="4"/>
  <c r="L1251" i="4"/>
  <c r="B1252" i="4"/>
  <c r="C1252" i="4"/>
  <c r="D1252" i="4"/>
  <c r="E1252" i="4"/>
  <c r="F1252" i="4"/>
  <c r="G1252" i="4"/>
  <c r="H1252" i="4"/>
  <c r="I1252" i="4"/>
  <c r="J1252" i="4"/>
  <c r="K1252" i="4"/>
  <c r="L1252" i="4"/>
  <c r="B1253" i="4"/>
  <c r="C1253" i="4"/>
  <c r="D1253" i="4"/>
  <c r="E1253" i="4"/>
  <c r="F1253" i="4"/>
  <c r="G1253" i="4"/>
  <c r="H1253" i="4"/>
  <c r="I1253" i="4"/>
  <c r="J1253" i="4"/>
  <c r="K1253" i="4"/>
  <c r="L1253" i="4"/>
  <c r="B1254" i="4"/>
  <c r="C1254" i="4"/>
  <c r="D1254" i="4"/>
  <c r="E1254" i="4"/>
  <c r="F1254" i="4"/>
  <c r="G1254" i="4"/>
  <c r="H1254" i="4"/>
  <c r="I1254" i="4"/>
  <c r="J1254" i="4"/>
  <c r="K1254" i="4"/>
  <c r="L1254" i="4"/>
  <c r="B1255" i="4"/>
  <c r="C1255" i="4"/>
  <c r="D1255" i="4"/>
  <c r="E1255" i="4"/>
  <c r="F1255" i="4"/>
  <c r="G1255" i="4"/>
  <c r="H1255" i="4"/>
  <c r="I1255" i="4"/>
  <c r="J1255" i="4"/>
  <c r="K1255" i="4"/>
  <c r="L1255" i="4"/>
  <c r="B1256" i="4"/>
  <c r="C1256" i="4"/>
  <c r="D1256" i="4"/>
  <c r="E1256" i="4"/>
  <c r="F1256" i="4"/>
  <c r="G1256" i="4"/>
  <c r="H1256" i="4"/>
  <c r="I1256" i="4"/>
  <c r="J1256" i="4"/>
  <c r="K1256" i="4"/>
  <c r="L1256" i="4"/>
  <c r="B1257" i="4"/>
  <c r="C1257" i="4"/>
  <c r="D1257" i="4"/>
  <c r="E1257" i="4"/>
  <c r="F1257" i="4"/>
  <c r="G1257" i="4"/>
  <c r="H1257" i="4"/>
  <c r="I1257" i="4"/>
  <c r="J1257" i="4"/>
  <c r="K1257" i="4"/>
  <c r="L1257" i="4"/>
  <c r="B1258" i="4"/>
  <c r="C1258" i="4"/>
  <c r="D1258" i="4"/>
  <c r="E1258" i="4"/>
  <c r="F1258" i="4"/>
  <c r="G1258" i="4"/>
  <c r="H1258" i="4"/>
  <c r="I1258" i="4"/>
  <c r="J1258" i="4"/>
  <c r="K1258" i="4"/>
  <c r="L1258" i="4"/>
  <c r="B1259" i="4"/>
  <c r="C1259" i="4"/>
  <c r="D1259" i="4"/>
  <c r="E1259" i="4"/>
  <c r="F1259" i="4"/>
  <c r="G1259" i="4"/>
  <c r="H1259" i="4"/>
  <c r="I1259" i="4"/>
  <c r="J1259" i="4"/>
  <c r="K1259" i="4"/>
  <c r="L1259" i="4"/>
  <c r="B1260" i="4"/>
  <c r="C1260" i="4"/>
  <c r="D1260" i="4"/>
  <c r="E1260" i="4"/>
  <c r="F1260" i="4"/>
  <c r="G1260" i="4"/>
  <c r="H1260" i="4"/>
  <c r="I1260" i="4"/>
  <c r="J1260" i="4"/>
  <c r="K1260" i="4"/>
  <c r="L1260" i="4"/>
  <c r="B1261" i="4"/>
  <c r="C1261" i="4"/>
  <c r="D1261" i="4"/>
  <c r="E1261" i="4"/>
  <c r="F1261" i="4"/>
  <c r="G1261" i="4"/>
  <c r="H1261" i="4"/>
  <c r="I1261" i="4"/>
  <c r="J1261" i="4"/>
  <c r="K1261" i="4"/>
  <c r="L1261" i="4"/>
  <c r="B1262" i="4"/>
  <c r="C1262" i="4"/>
  <c r="D1262" i="4"/>
  <c r="E1262" i="4"/>
  <c r="F1262" i="4"/>
  <c r="G1262" i="4"/>
  <c r="H1262" i="4"/>
  <c r="I1262" i="4"/>
  <c r="J1262" i="4"/>
  <c r="K1262" i="4"/>
  <c r="L1262" i="4"/>
  <c r="B1263" i="4"/>
  <c r="C1263" i="4"/>
  <c r="D1263" i="4"/>
  <c r="E1263" i="4"/>
  <c r="F1263" i="4"/>
  <c r="G1263" i="4"/>
  <c r="H1263" i="4"/>
  <c r="I1263" i="4"/>
  <c r="J1263" i="4"/>
  <c r="K1263" i="4"/>
  <c r="L1263" i="4"/>
  <c r="B1264" i="4"/>
  <c r="C1264" i="4"/>
  <c r="D1264" i="4"/>
  <c r="E1264" i="4"/>
  <c r="F1264" i="4"/>
  <c r="G1264" i="4"/>
  <c r="H1264" i="4"/>
  <c r="I1264" i="4"/>
  <c r="J1264" i="4"/>
  <c r="K1264" i="4"/>
  <c r="L1264" i="4"/>
  <c r="B1265" i="4"/>
  <c r="C1265" i="4"/>
  <c r="D1265" i="4"/>
  <c r="E1265" i="4"/>
  <c r="F1265" i="4"/>
  <c r="G1265" i="4"/>
  <c r="H1265" i="4"/>
  <c r="I1265" i="4"/>
  <c r="J1265" i="4"/>
  <c r="K1265" i="4"/>
  <c r="L1265" i="4"/>
  <c r="B1266" i="4"/>
  <c r="C1266" i="4"/>
  <c r="D1266" i="4"/>
  <c r="E1266" i="4"/>
  <c r="F1266" i="4"/>
  <c r="G1266" i="4"/>
  <c r="H1266" i="4"/>
  <c r="I1266" i="4"/>
  <c r="J1266" i="4"/>
  <c r="K1266" i="4"/>
  <c r="L1266" i="4"/>
  <c r="B1267" i="4"/>
  <c r="C1267" i="4"/>
  <c r="D1267" i="4"/>
  <c r="E1267" i="4"/>
  <c r="F1267" i="4"/>
  <c r="G1267" i="4"/>
  <c r="H1267" i="4"/>
  <c r="I1267" i="4"/>
  <c r="J1267" i="4"/>
  <c r="K1267" i="4"/>
  <c r="L1267" i="4"/>
  <c r="B1268" i="4"/>
  <c r="C1268" i="4"/>
  <c r="D1268" i="4"/>
  <c r="E1268" i="4"/>
  <c r="F1268" i="4"/>
  <c r="G1268" i="4"/>
  <c r="H1268" i="4"/>
  <c r="I1268" i="4"/>
  <c r="J1268" i="4"/>
  <c r="K1268" i="4"/>
  <c r="L1268" i="4"/>
  <c r="B1269" i="4"/>
  <c r="C1269" i="4"/>
  <c r="D1269" i="4"/>
  <c r="E1269" i="4"/>
  <c r="F1269" i="4"/>
  <c r="G1269" i="4"/>
  <c r="H1269" i="4"/>
  <c r="I1269" i="4"/>
  <c r="J1269" i="4"/>
  <c r="K1269" i="4"/>
  <c r="L1269" i="4"/>
  <c r="B1270" i="4"/>
  <c r="C1270" i="4"/>
  <c r="D1270" i="4"/>
  <c r="E1270" i="4"/>
  <c r="F1270" i="4"/>
  <c r="G1270" i="4"/>
  <c r="H1270" i="4"/>
  <c r="I1270" i="4"/>
  <c r="J1270" i="4"/>
  <c r="K1270" i="4"/>
  <c r="L1270" i="4"/>
  <c r="B1271" i="4"/>
  <c r="C1271" i="4"/>
  <c r="D1271" i="4"/>
  <c r="E1271" i="4"/>
  <c r="F1271" i="4"/>
  <c r="G1271" i="4"/>
  <c r="H1271" i="4"/>
  <c r="I1271" i="4"/>
  <c r="J1271" i="4"/>
  <c r="K1271" i="4"/>
  <c r="L1271" i="4"/>
  <c r="B1272" i="4"/>
  <c r="C1272" i="4"/>
  <c r="D1272" i="4"/>
  <c r="E1272" i="4"/>
  <c r="F1272" i="4"/>
  <c r="G1272" i="4"/>
  <c r="H1272" i="4"/>
  <c r="I1272" i="4"/>
  <c r="J1272" i="4"/>
  <c r="K1272" i="4"/>
  <c r="L1272" i="4"/>
  <c r="B1273" i="4"/>
  <c r="C1273" i="4"/>
  <c r="D1273" i="4"/>
  <c r="E1273" i="4"/>
  <c r="F1273" i="4"/>
  <c r="G1273" i="4"/>
  <c r="H1273" i="4"/>
  <c r="I1273" i="4"/>
  <c r="J1273" i="4"/>
  <c r="K1273" i="4"/>
  <c r="L1273" i="4"/>
  <c r="B1274" i="4"/>
  <c r="C1274" i="4"/>
  <c r="D1274" i="4"/>
  <c r="E1274" i="4"/>
  <c r="F1274" i="4"/>
  <c r="G1274" i="4"/>
  <c r="H1274" i="4"/>
  <c r="I1274" i="4"/>
  <c r="J1274" i="4"/>
  <c r="K1274" i="4"/>
  <c r="L1274" i="4"/>
  <c r="B1275" i="4"/>
  <c r="C1275" i="4"/>
  <c r="D1275" i="4"/>
  <c r="E1275" i="4"/>
  <c r="F1275" i="4"/>
  <c r="G1275" i="4"/>
  <c r="H1275" i="4"/>
  <c r="I1275" i="4"/>
  <c r="J1275" i="4"/>
  <c r="K1275" i="4"/>
  <c r="L1275" i="4"/>
  <c r="B1276" i="4"/>
  <c r="C1276" i="4"/>
  <c r="D1276" i="4"/>
  <c r="E1276" i="4"/>
  <c r="F1276" i="4"/>
  <c r="G1276" i="4"/>
  <c r="H1276" i="4"/>
  <c r="I1276" i="4"/>
  <c r="J1276" i="4"/>
  <c r="K1276" i="4"/>
  <c r="L1276" i="4"/>
  <c r="B1277" i="4"/>
  <c r="C1277" i="4"/>
  <c r="D1277" i="4"/>
  <c r="E1277" i="4"/>
  <c r="F1277" i="4"/>
  <c r="G1277" i="4"/>
  <c r="H1277" i="4"/>
  <c r="I1277" i="4"/>
  <c r="J1277" i="4"/>
  <c r="K1277" i="4"/>
  <c r="L1277" i="4"/>
  <c r="B1278" i="4"/>
  <c r="C1278" i="4"/>
  <c r="D1278" i="4"/>
  <c r="E1278" i="4"/>
  <c r="F1278" i="4"/>
  <c r="G1278" i="4"/>
  <c r="H1278" i="4"/>
  <c r="I1278" i="4"/>
  <c r="J1278" i="4"/>
  <c r="K1278" i="4"/>
  <c r="L1278" i="4"/>
  <c r="B1279" i="4"/>
  <c r="C1279" i="4"/>
  <c r="D1279" i="4"/>
  <c r="E1279" i="4"/>
  <c r="F1279" i="4"/>
  <c r="G1279" i="4"/>
  <c r="H1279" i="4"/>
  <c r="I1279" i="4"/>
  <c r="J1279" i="4"/>
  <c r="K1279" i="4"/>
  <c r="L1279" i="4"/>
  <c r="B1280" i="4"/>
  <c r="C1280" i="4"/>
  <c r="D1280" i="4"/>
  <c r="E1280" i="4"/>
  <c r="F1280" i="4"/>
  <c r="G1280" i="4"/>
  <c r="H1280" i="4"/>
  <c r="I1280" i="4"/>
  <c r="J1280" i="4"/>
  <c r="K1280" i="4"/>
  <c r="L1280" i="4"/>
  <c r="B1281" i="4"/>
  <c r="C1281" i="4"/>
  <c r="D1281" i="4"/>
  <c r="E1281" i="4"/>
  <c r="F1281" i="4"/>
  <c r="G1281" i="4"/>
  <c r="H1281" i="4"/>
  <c r="I1281" i="4"/>
  <c r="J1281" i="4"/>
  <c r="K1281" i="4"/>
  <c r="L1281" i="4"/>
  <c r="B1282" i="4"/>
  <c r="C1282" i="4"/>
  <c r="D1282" i="4"/>
  <c r="E1282" i="4"/>
  <c r="F1282" i="4"/>
  <c r="G1282" i="4"/>
  <c r="H1282" i="4"/>
  <c r="I1282" i="4"/>
  <c r="J1282" i="4"/>
  <c r="K1282" i="4"/>
  <c r="L1282" i="4"/>
  <c r="B1283" i="4"/>
  <c r="C1283" i="4"/>
  <c r="D1283" i="4"/>
  <c r="E1283" i="4"/>
  <c r="F1283" i="4"/>
  <c r="G1283" i="4"/>
  <c r="H1283" i="4"/>
  <c r="I1283" i="4"/>
  <c r="J1283" i="4"/>
  <c r="K1283" i="4"/>
  <c r="L1283" i="4"/>
  <c r="B1284" i="4"/>
  <c r="C1284" i="4"/>
  <c r="D1284" i="4"/>
  <c r="E1284" i="4"/>
  <c r="F1284" i="4"/>
  <c r="G1284" i="4"/>
  <c r="H1284" i="4"/>
  <c r="I1284" i="4"/>
  <c r="J1284" i="4"/>
  <c r="K1284" i="4"/>
  <c r="L1284" i="4"/>
  <c r="B1285" i="4"/>
  <c r="C1285" i="4"/>
  <c r="D1285" i="4"/>
  <c r="E1285" i="4"/>
  <c r="F1285" i="4"/>
  <c r="G1285" i="4"/>
  <c r="H1285" i="4"/>
  <c r="I1285" i="4"/>
  <c r="J1285" i="4"/>
  <c r="K1285" i="4"/>
  <c r="L1285" i="4"/>
  <c r="B1286" i="4"/>
  <c r="C1286" i="4"/>
  <c r="D1286" i="4"/>
  <c r="E1286" i="4"/>
  <c r="F1286" i="4"/>
  <c r="G1286" i="4"/>
  <c r="H1286" i="4"/>
  <c r="I1286" i="4"/>
  <c r="J1286" i="4"/>
  <c r="K1286" i="4"/>
  <c r="L1286" i="4"/>
  <c r="B1287" i="4"/>
  <c r="C1287" i="4"/>
  <c r="D1287" i="4"/>
  <c r="E1287" i="4"/>
  <c r="F1287" i="4"/>
  <c r="G1287" i="4"/>
  <c r="H1287" i="4"/>
  <c r="I1287" i="4"/>
  <c r="J1287" i="4"/>
  <c r="K1287" i="4"/>
  <c r="L1287" i="4"/>
  <c r="B1288" i="4"/>
  <c r="C1288" i="4"/>
  <c r="D1288" i="4"/>
  <c r="E1288" i="4"/>
  <c r="F1288" i="4"/>
  <c r="G1288" i="4"/>
  <c r="H1288" i="4"/>
  <c r="I1288" i="4"/>
  <c r="J1288" i="4"/>
  <c r="K1288" i="4"/>
  <c r="L1288" i="4"/>
  <c r="B1289" i="4"/>
  <c r="C1289" i="4"/>
  <c r="D1289" i="4"/>
  <c r="E1289" i="4"/>
  <c r="F1289" i="4"/>
  <c r="G1289" i="4"/>
  <c r="H1289" i="4"/>
  <c r="I1289" i="4"/>
  <c r="J1289" i="4"/>
  <c r="K1289" i="4"/>
  <c r="L1289" i="4"/>
  <c r="B1290" i="4"/>
  <c r="C1290" i="4"/>
  <c r="D1290" i="4"/>
  <c r="E1290" i="4"/>
  <c r="F1290" i="4"/>
  <c r="G1290" i="4"/>
  <c r="H1290" i="4"/>
  <c r="I1290" i="4"/>
  <c r="J1290" i="4"/>
  <c r="K1290" i="4"/>
  <c r="L1290" i="4"/>
  <c r="B1291" i="4"/>
  <c r="C1291" i="4"/>
  <c r="D1291" i="4"/>
  <c r="E1291" i="4"/>
  <c r="F1291" i="4"/>
  <c r="G1291" i="4"/>
  <c r="H1291" i="4"/>
  <c r="I1291" i="4"/>
  <c r="J1291" i="4"/>
  <c r="K1291" i="4"/>
  <c r="L1291" i="4"/>
  <c r="B1292" i="4"/>
  <c r="C1292" i="4"/>
  <c r="D1292" i="4"/>
  <c r="E1292" i="4"/>
  <c r="F1292" i="4"/>
  <c r="G1292" i="4"/>
  <c r="H1292" i="4"/>
  <c r="I1292" i="4"/>
  <c r="J1292" i="4"/>
  <c r="K1292" i="4"/>
  <c r="L1292" i="4"/>
  <c r="B1293" i="4"/>
  <c r="C1293" i="4"/>
  <c r="D1293" i="4"/>
  <c r="E1293" i="4"/>
  <c r="F1293" i="4"/>
  <c r="G1293" i="4"/>
  <c r="H1293" i="4"/>
  <c r="I1293" i="4"/>
  <c r="J1293" i="4"/>
  <c r="K1293" i="4"/>
  <c r="L1293" i="4"/>
  <c r="B1294" i="4"/>
  <c r="C1294" i="4"/>
  <c r="D1294" i="4"/>
  <c r="E1294" i="4"/>
  <c r="F1294" i="4"/>
  <c r="G1294" i="4"/>
  <c r="H1294" i="4"/>
  <c r="I1294" i="4"/>
  <c r="J1294" i="4"/>
  <c r="K1294" i="4"/>
  <c r="L1294" i="4"/>
  <c r="B1295" i="4"/>
  <c r="C1295" i="4"/>
  <c r="D1295" i="4"/>
  <c r="E1295" i="4"/>
  <c r="F1295" i="4"/>
  <c r="G1295" i="4"/>
  <c r="H1295" i="4"/>
  <c r="I1295" i="4"/>
  <c r="J1295" i="4"/>
  <c r="K1295" i="4"/>
  <c r="L1295" i="4"/>
  <c r="B1296" i="4"/>
  <c r="C1296" i="4"/>
  <c r="D1296" i="4"/>
  <c r="E1296" i="4"/>
  <c r="F1296" i="4"/>
  <c r="G1296" i="4"/>
  <c r="H1296" i="4"/>
  <c r="I1296" i="4"/>
  <c r="J1296" i="4"/>
  <c r="K1296" i="4"/>
  <c r="L1296" i="4"/>
  <c r="B1297" i="4"/>
  <c r="C1297" i="4"/>
  <c r="D1297" i="4"/>
  <c r="E1297" i="4"/>
  <c r="F1297" i="4"/>
  <c r="G1297" i="4"/>
  <c r="H1297" i="4"/>
  <c r="I1297" i="4"/>
  <c r="J1297" i="4"/>
  <c r="K1297" i="4"/>
  <c r="L1297" i="4"/>
  <c r="B1298" i="4"/>
  <c r="C1298" i="4"/>
  <c r="D1298" i="4"/>
  <c r="E1298" i="4"/>
  <c r="F1298" i="4"/>
  <c r="G1298" i="4"/>
  <c r="H1298" i="4"/>
  <c r="I1298" i="4"/>
  <c r="J1298" i="4"/>
  <c r="K1298" i="4"/>
  <c r="L1298" i="4"/>
  <c r="B1299" i="4"/>
  <c r="C1299" i="4"/>
  <c r="D1299" i="4"/>
  <c r="E1299" i="4"/>
  <c r="F1299" i="4"/>
  <c r="G1299" i="4"/>
  <c r="H1299" i="4"/>
  <c r="I1299" i="4"/>
  <c r="J1299" i="4"/>
  <c r="K1299" i="4"/>
  <c r="L1299" i="4"/>
  <c r="B1300" i="4"/>
  <c r="C1300" i="4"/>
  <c r="D1300" i="4"/>
  <c r="E1300" i="4"/>
  <c r="F1300" i="4"/>
  <c r="G1300" i="4"/>
  <c r="H1300" i="4"/>
  <c r="I1300" i="4"/>
  <c r="J1300" i="4"/>
  <c r="K1300" i="4"/>
  <c r="L1300" i="4"/>
  <c r="B1301" i="4"/>
  <c r="C1301" i="4"/>
  <c r="D1301" i="4"/>
  <c r="E1301" i="4"/>
  <c r="F1301" i="4"/>
  <c r="G1301" i="4"/>
  <c r="H1301" i="4"/>
  <c r="I1301" i="4"/>
  <c r="J1301" i="4"/>
  <c r="K1301" i="4"/>
  <c r="L1301" i="4"/>
  <c r="B1302" i="4"/>
  <c r="C1302" i="4"/>
  <c r="D1302" i="4"/>
  <c r="E1302" i="4"/>
  <c r="F1302" i="4"/>
  <c r="G1302" i="4"/>
  <c r="H1302" i="4"/>
  <c r="I1302" i="4"/>
  <c r="J1302" i="4"/>
  <c r="K1302" i="4"/>
  <c r="L1302" i="4"/>
  <c r="B1303" i="4"/>
  <c r="C1303" i="4"/>
  <c r="D1303" i="4"/>
  <c r="E1303" i="4"/>
  <c r="F1303" i="4"/>
  <c r="G1303" i="4"/>
  <c r="H1303" i="4"/>
  <c r="I1303" i="4"/>
  <c r="J1303" i="4"/>
  <c r="K1303" i="4"/>
  <c r="L1303" i="4"/>
  <c r="B1304" i="4"/>
  <c r="C1304" i="4"/>
  <c r="D1304" i="4"/>
  <c r="E1304" i="4"/>
  <c r="F1304" i="4"/>
  <c r="G1304" i="4"/>
  <c r="H1304" i="4"/>
  <c r="I1304" i="4"/>
  <c r="J1304" i="4"/>
  <c r="K1304" i="4"/>
  <c r="L1304" i="4"/>
  <c r="B1305" i="4"/>
  <c r="C1305" i="4"/>
  <c r="D1305" i="4"/>
  <c r="E1305" i="4"/>
  <c r="F1305" i="4"/>
  <c r="G1305" i="4"/>
  <c r="H1305" i="4"/>
  <c r="I1305" i="4"/>
  <c r="J1305" i="4"/>
  <c r="K1305" i="4"/>
  <c r="L1305" i="4"/>
  <c r="B1306" i="4"/>
  <c r="C1306" i="4"/>
  <c r="D1306" i="4"/>
  <c r="E1306" i="4"/>
  <c r="F1306" i="4"/>
  <c r="G1306" i="4"/>
  <c r="H1306" i="4"/>
  <c r="I1306" i="4"/>
  <c r="J1306" i="4"/>
  <c r="K1306" i="4"/>
  <c r="L1306" i="4"/>
  <c r="B1307" i="4"/>
  <c r="C1307" i="4"/>
  <c r="D1307" i="4"/>
  <c r="E1307" i="4"/>
  <c r="F1307" i="4"/>
  <c r="G1307" i="4"/>
  <c r="H1307" i="4"/>
  <c r="I1307" i="4"/>
  <c r="J1307" i="4"/>
  <c r="K1307" i="4"/>
  <c r="L1307" i="4"/>
  <c r="B1308" i="4"/>
  <c r="C1308" i="4"/>
  <c r="D1308" i="4"/>
  <c r="E1308" i="4"/>
  <c r="F1308" i="4"/>
  <c r="G1308" i="4"/>
  <c r="H1308" i="4"/>
  <c r="I1308" i="4"/>
  <c r="J1308" i="4"/>
  <c r="K1308" i="4"/>
  <c r="L1308" i="4"/>
  <c r="B1309" i="4"/>
  <c r="C1309" i="4"/>
  <c r="D1309" i="4"/>
  <c r="E1309" i="4"/>
  <c r="F1309" i="4"/>
  <c r="G1309" i="4"/>
  <c r="H1309" i="4"/>
  <c r="I1309" i="4"/>
  <c r="J1309" i="4"/>
  <c r="K1309" i="4"/>
  <c r="L1309" i="4"/>
  <c r="B1310" i="4"/>
  <c r="C1310" i="4"/>
  <c r="D1310" i="4"/>
  <c r="E1310" i="4"/>
  <c r="F1310" i="4"/>
  <c r="G1310" i="4"/>
  <c r="H1310" i="4"/>
  <c r="I1310" i="4"/>
  <c r="J1310" i="4"/>
  <c r="K1310" i="4"/>
  <c r="L1310" i="4"/>
  <c r="B1311" i="4"/>
  <c r="C1311" i="4"/>
  <c r="D1311" i="4"/>
  <c r="E1311" i="4"/>
  <c r="F1311" i="4"/>
  <c r="G1311" i="4"/>
  <c r="H1311" i="4"/>
  <c r="I1311" i="4"/>
  <c r="J1311" i="4"/>
  <c r="K1311" i="4"/>
  <c r="L1311" i="4"/>
  <c r="B1312" i="4"/>
  <c r="C1312" i="4"/>
  <c r="D1312" i="4"/>
  <c r="E1312" i="4"/>
  <c r="F1312" i="4"/>
  <c r="G1312" i="4"/>
  <c r="H1312" i="4"/>
  <c r="I1312" i="4"/>
  <c r="J1312" i="4"/>
  <c r="K1312" i="4"/>
  <c r="L1312" i="4"/>
  <c r="B1313" i="4"/>
  <c r="C1313" i="4"/>
  <c r="D1313" i="4"/>
  <c r="E1313" i="4"/>
  <c r="F1313" i="4"/>
  <c r="G1313" i="4"/>
  <c r="H1313" i="4"/>
  <c r="I1313" i="4"/>
  <c r="J1313" i="4"/>
  <c r="K1313" i="4"/>
  <c r="L1313" i="4"/>
  <c r="B1314" i="4"/>
  <c r="C1314" i="4"/>
  <c r="D1314" i="4"/>
  <c r="E1314" i="4"/>
  <c r="F1314" i="4"/>
  <c r="G1314" i="4"/>
  <c r="H1314" i="4"/>
  <c r="I1314" i="4"/>
  <c r="J1314" i="4"/>
  <c r="K1314" i="4"/>
  <c r="L1314" i="4"/>
  <c r="B1315" i="4"/>
  <c r="C1315" i="4"/>
  <c r="D1315" i="4"/>
  <c r="E1315" i="4"/>
  <c r="F1315" i="4"/>
  <c r="G1315" i="4"/>
  <c r="H1315" i="4"/>
  <c r="I1315" i="4"/>
  <c r="J1315" i="4"/>
  <c r="K1315" i="4"/>
  <c r="L1315" i="4"/>
  <c r="B1316" i="4"/>
  <c r="C1316" i="4"/>
  <c r="D1316" i="4"/>
  <c r="E1316" i="4"/>
  <c r="F1316" i="4"/>
  <c r="G1316" i="4"/>
  <c r="H1316" i="4"/>
  <c r="I1316" i="4"/>
  <c r="J1316" i="4"/>
  <c r="K1316" i="4"/>
  <c r="L1316" i="4"/>
  <c r="B1317" i="4"/>
  <c r="C1317" i="4"/>
  <c r="D1317" i="4"/>
  <c r="E1317" i="4"/>
  <c r="F1317" i="4"/>
  <c r="G1317" i="4"/>
  <c r="H1317" i="4"/>
  <c r="I1317" i="4"/>
  <c r="J1317" i="4"/>
  <c r="K1317" i="4"/>
  <c r="L1317" i="4"/>
  <c r="B1318" i="4"/>
  <c r="C1318" i="4"/>
  <c r="D1318" i="4"/>
  <c r="E1318" i="4"/>
  <c r="F1318" i="4"/>
  <c r="G1318" i="4"/>
  <c r="H1318" i="4"/>
  <c r="I1318" i="4"/>
  <c r="J1318" i="4"/>
  <c r="K1318" i="4"/>
  <c r="L1318" i="4"/>
  <c r="B1319" i="4"/>
  <c r="C1319" i="4"/>
  <c r="D1319" i="4"/>
  <c r="E1319" i="4"/>
  <c r="F1319" i="4"/>
  <c r="G1319" i="4"/>
  <c r="H1319" i="4"/>
  <c r="I1319" i="4"/>
  <c r="J1319" i="4"/>
  <c r="K1319" i="4"/>
  <c r="L1319" i="4"/>
  <c r="B1320" i="4"/>
  <c r="C1320" i="4"/>
  <c r="D1320" i="4"/>
  <c r="E1320" i="4"/>
  <c r="F1320" i="4"/>
  <c r="G1320" i="4"/>
  <c r="H1320" i="4"/>
  <c r="I1320" i="4"/>
  <c r="J1320" i="4"/>
  <c r="K1320" i="4"/>
  <c r="L1320" i="4"/>
  <c r="B1321" i="4"/>
  <c r="C1321" i="4"/>
  <c r="D1321" i="4"/>
  <c r="E1321" i="4"/>
  <c r="F1321" i="4"/>
  <c r="G1321" i="4"/>
  <c r="H1321" i="4"/>
  <c r="I1321" i="4"/>
  <c r="J1321" i="4"/>
  <c r="K1321" i="4"/>
  <c r="L1321" i="4"/>
  <c r="B1322" i="4"/>
  <c r="C1322" i="4"/>
  <c r="D1322" i="4"/>
  <c r="E1322" i="4"/>
  <c r="F1322" i="4"/>
  <c r="G1322" i="4"/>
  <c r="H1322" i="4"/>
  <c r="I1322" i="4"/>
  <c r="J1322" i="4"/>
  <c r="K1322" i="4"/>
  <c r="L1322" i="4"/>
  <c r="B1323" i="4"/>
  <c r="C1323" i="4"/>
  <c r="D1323" i="4"/>
  <c r="E1323" i="4"/>
  <c r="F1323" i="4"/>
  <c r="G1323" i="4"/>
  <c r="H1323" i="4"/>
  <c r="I1323" i="4"/>
  <c r="J1323" i="4"/>
  <c r="K1323" i="4"/>
  <c r="L1323" i="4"/>
  <c r="B1324" i="4"/>
  <c r="C1324" i="4"/>
  <c r="D1324" i="4"/>
  <c r="E1324" i="4"/>
  <c r="F1324" i="4"/>
  <c r="G1324" i="4"/>
  <c r="H1324" i="4"/>
  <c r="I1324" i="4"/>
  <c r="J1324" i="4"/>
  <c r="K1324" i="4"/>
  <c r="L1324" i="4"/>
  <c r="B1325" i="4"/>
  <c r="C1325" i="4"/>
  <c r="D1325" i="4"/>
  <c r="E1325" i="4"/>
  <c r="F1325" i="4"/>
  <c r="G1325" i="4"/>
  <c r="H1325" i="4"/>
  <c r="I1325" i="4"/>
  <c r="J1325" i="4"/>
  <c r="K1325" i="4"/>
  <c r="L1325" i="4"/>
  <c r="B1326" i="4"/>
  <c r="C1326" i="4"/>
  <c r="D1326" i="4"/>
  <c r="E1326" i="4"/>
  <c r="F1326" i="4"/>
  <c r="G1326" i="4"/>
  <c r="H1326" i="4"/>
  <c r="I1326" i="4"/>
  <c r="J1326" i="4"/>
  <c r="K1326" i="4"/>
  <c r="L1326" i="4"/>
  <c r="B1327" i="4"/>
  <c r="C1327" i="4"/>
  <c r="D1327" i="4"/>
  <c r="E1327" i="4"/>
  <c r="F1327" i="4"/>
  <c r="G1327" i="4"/>
  <c r="H1327" i="4"/>
  <c r="I1327" i="4"/>
  <c r="J1327" i="4"/>
  <c r="K1327" i="4"/>
  <c r="L1327" i="4"/>
  <c r="B1328" i="4"/>
  <c r="C1328" i="4"/>
  <c r="D1328" i="4"/>
  <c r="E1328" i="4"/>
  <c r="F1328" i="4"/>
  <c r="G1328" i="4"/>
  <c r="H1328" i="4"/>
  <c r="I1328" i="4"/>
  <c r="J1328" i="4"/>
  <c r="K1328" i="4"/>
  <c r="L1328" i="4"/>
  <c r="B1329" i="4"/>
  <c r="C1329" i="4"/>
  <c r="D1329" i="4"/>
  <c r="E1329" i="4"/>
  <c r="F1329" i="4"/>
  <c r="G1329" i="4"/>
  <c r="H1329" i="4"/>
  <c r="I1329" i="4"/>
  <c r="J1329" i="4"/>
  <c r="K1329" i="4"/>
  <c r="L1329" i="4"/>
  <c r="B1330" i="4"/>
  <c r="C1330" i="4"/>
  <c r="D1330" i="4"/>
  <c r="E1330" i="4"/>
  <c r="F1330" i="4"/>
  <c r="G1330" i="4"/>
  <c r="H1330" i="4"/>
  <c r="I1330" i="4"/>
  <c r="J1330" i="4"/>
  <c r="K1330" i="4"/>
  <c r="L1330" i="4"/>
  <c r="B1331" i="4"/>
  <c r="C1331" i="4"/>
  <c r="D1331" i="4"/>
  <c r="E1331" i="4"/>
  <c r="F1331" i="4"/>
  <c r="G1331" i="4"/>
  <c r="H1331" i="4"/>
  <c r="I1331" i="4"/>
  <c r="J1331" i="4"/>
  <c r="K1331" i="4"/>
  <c r="L1331" i="4"/>
  <c r="B1332" i="4"/>
  <c r="C1332" i="4"/>
  <c r="D1332" i="4"/>
  <c r="E1332" i="4"/>
  <c r="F1332" i="4"/>
  <c r="G1332" i="4"/>
  <c r="H1332" i="4"/>
  <c r="I1332" i="4"/>
  <c r="J1332" i="4"/>
  <c r="K1332" i="4"/>
  <c r="L1332" i="4"/>
  <c r="B1333" i="4"/>
  <c r="C1333" i="4"/>
  <c r="D1333" i="4"/>
  <c r="E1333" i="4"/>
  <c r="F1333" i="4"/>
  <c r="G1333" i="4"/>
  <c r="H1333" i="4"/>
  <c r="I1333" i="4"/>
  <c r="J1333" i="4"/>
  <c r="K1333" i="4"/>
  <c r="L1333" i="4"/>
  <c r="B1334" i="4"/>
  <c r="C1334" i="4"/>
  <c r="D1334" i="4"/>
  <c r="E1334" i="4"/>
  <c r="F1334" i="4"/>
  <c r="G1334" i="4"/>
  <c r="H1334" i="4"/>
  <c r="I1334" i="4"/>
  <c r="J1334" i="4"/>
  <c r="K1334" i="4"/>
  <c r="L1334" i="4"/>
  <c r="B1335" i="4"/>
  <c r="C1335" i="4"/>
  <c r="D1335" i="4"/>
  <c r="E1335" i="4"/>
  <c r="F1335" i="4"/>
  <c r="G1335" i="4"/>
  <c r="H1335" i="4"/>
  <c r="I1335" i="4"/>
  <c r="J1335" i="4"/>
  <c r="K1335" i="4"/>
  <c r="L1335" i="4"/>
  <c r="B1336" i="4"/>
  <c r="C1336" i="4"/>
  <c r="D1336" i="4"/>
  <c r="E1336" i="4"/>
  <c r="F1336" i="4"/>
  <c r="G1336" i="4"/>
  <c r="H1336" i="4"/>
  <c r="I1336" i="4"/>
  <c r="J1336" i="4"/>
  <c r="K1336" i="4"/>
  <c r="L1336" i="4"/>
  <c r="B1337" i="4"/>
  <c r="C1337" i="4"/>
  <c r="D1337" i="4"/>
  <c r="E1337" i="4"/>
  <c r="F1337" i="4"/>
  <c r="G1337" i="4"/>
  <c r="H1337" i="4"/>
  <c r="I1337" i="4"/>
  <c r="J1337" i="4"/>
  <c r="K1337" i="4"/>
  <c r="L1337" i="4"/>
  <c r="B1338" i="4"/>
  <c r="C1338" i="4"/>
  <c r="D1338" i="4"/>
  <c r="E1338" i="4"/>
  <c r="F1338" i="4"/>
  <c r="G1338" i="4"/>
  <c r="H1338" i="4"/>
  <c r="I1338" i="4"/>
  <c r="J1338" i="4"/>
  <c r="K1338" i="4"/>
  <c r="L1338" i="4"/>
  <c r="B1339" i="4"/>
  <c r="C1339" i="4"/>
  <c r="D1339" i="4"/>
  <c r="E1339" i="4"/>
  <c r="F1339" i="4"/>
  <c r="G1339" i="4"/>
  <c r="H1339" i="4"/>
  <c r="I1339" i="4"/>
  <c r="J1339" i="4"/>
  <c r="K1339" i="4"/>
  <c r="L1339" i="4"/>
  <c r="B1340" i="4"/>
  <c r="C1340" i="4"/>
  <c r="D1340" i="4"/>
  <c r="E1340" i="4"/>
  <c r="F1340" i="4"/>
  <c r="G1340" i="4"/>
  <c r="H1340" i="4"/>
  <c r="I1340" i="4"/>
  <c r="J1340" i="4"/>
  <c r="K1340" i="4"/>
  <c r="L1340" i="4"/>
  <c r="B1341" i="4"/>
  <c r="C1341" i="4"/>
  <c r="D1341" i="4"/>
  <c r="E1341" i="4"/>
  <c r="F1341" i="4"/>
  <c r="G1341" i="4"/>
  <c r="H1341" i="4"/>
  <c r="I1341" i="4"/>
  <c r="J1341" i="4"/>
  <c r="K1341" i="4"/>
  <c r="L1341" i="4"/>
  <c r="B1342" i="4"/>
  <c r="C1342" i="4"/>
  <c r="D1342" i="4"/>
  <c r="E1342" i="4"/>
  <c r="F1342" i="4"/>
  <c r="G1342" i="4"/>
  <c r="H1342" i="4"/>
  <c r="I1342" i="4"/>
  <c r="J1342" i="4"/>
  <c r="K1342" i="4"/>
  <c r="L1342" i="4"/>
  <c r="B1343" i="4"/>
  <c r="C1343" i="4"/>
  <c r="D1343" i="4"/>
  <c r="E1343" i="4"/>
  <c r="F1343" i="4"/>
  <c r="G1343" i="4"/>
  <c r="H1343" i="4"/>
  <c r="I1343" i="4"/>
  <c r="J1343" i="4"/>
  <c r="K1343" i="4"/>
  <c r="L1343" i="4"/>
  <c r="B1344" i="4"/>
  <c r="C1344" i="4"/>
  <c r="D1344" i="4"/>
  <c r="E1344" i="4"/>
  <c r="F1344" i="4"/>
  <c r="G1344" i="4"/>
  <c r="H1344" i="4"/>
  <c r="I1344" i="4"/>
  <c r="J1344" i="4"/>
  <c r="K1344" i="4"/>
  <c r="L1344" i="4"/>
  <c r="B1345" i="4"/>
  <c r="C1345" i="4"/>
  <c r="D1345" i="4"/>
  <c r="E1345" i="4"/>
  <c r="F1345" i="4"/>
  <c r="G1345" i="4"/>
  <c r="H1345" i="4"/>
  <c r="I1345" i="4"/>
  <c r="J1345" i="4"/>
  <c r="K1345" i="4"/>
  <c r="L1345" i="4"/>
  <c r="B1346" i="4"/>
  <c r="C1346" i="4"/>
  <c r="D1346" i="4"/>
  <c r="E1346" i="4"/>
  <c r="F1346" i="4"/>
  <c r="G1346" i="4"/>
  <c r="H1346" i="4"/>
  <c r="I1346" i="4"/>
  <c r="J1346" i="4"/>
  <c r="K1346" i="4"/>
  <c r="L1346" i="4"/>
  <c r="B1347" i="4"/>
  <c r="C1347" i="4"/>
  <c r="D1347" i="4"/>
  <c r="E1347" i="4"/>
  <c r="F1347" i="4"/>
  <c r="G1347" i="4"/>
  <c r="H1347" i="4"/>
  <c r="I1347" i="4"/>
  <c r="J1347" i="4"/>
  <c r="K1347" i="4"/>
  <c r="L1347" i="4"/>
  <c r="B1348" i="4"/>
  <c r="C1348" i="4"/>
  <c r="D1348" i="4"/>
  <c r="E1348" i="4"/>
  <c r="F1348" i="4"/>
  <c r="G1348" i="4"/>
  <c r="H1348" i="4"/>
  <c r="I1348" i="4"/>
  <c r="J1348" i="4"/>
  <c r="K1348" i="4"/>
  <c r="L1348" i="4"/>
  <c r="B1349" i="4"/>
  <c r="C1349" i="4"/>
  <c r="D1349" i="4"/>
  <c r="E1349" i="4"/>
  <c r="F1349" i="4"/>
  <c r="G1349" i="4"/>
  <c r="H1349" i="4"/>
  <c r="I1349" i="4"/>
  <c r="J1349" i="4"/>
  <c r="K1349" i="4"/>
  <c r="L1349" i="4"/>
  <c r="B1350" i="4"/>
  <c r="C1350" i="4"/>
  <c r="D1350" i="4"/>
  <c r="E1350" i="4"/>
  <c r="F1350" i="4"/>
  <c r="G1350" i="4"/>
  <c r="H1350" i="4"/>
  <c r="I1350" i="4"/>
  <c r="J1350" i="4"/>
  <c r="K1350" i="4"/>
  <c r="L1350" i="4"/>
  <c r="B1351" i="4"/>
  <c r="C1351" i="4"/>
  <c r="D1351" i="4"/>
  <c r="E1351" i="4"/>
  <c r="F1351" i="4"/>
  <c r="G1351" i="4"/>
  <c r="H1351" i="4"/>
  <c r="I1351" i="4"/>
  <c r="J1351" i="4"/>
  <c r="K1351" i="4"/>
  <c r="L1351" i="4"/>
  <c r="B1352" i="4"/>
  <c r="C1352" i="4"/>
  <c r="D1352" i="4"/>
  <c r="E1352" i="4"/>
  <c r="F1352" i="4"/>
  <c r="G1352" i="4"/>
  <c r="H1352" i="4"/>
  <c r="I1352" i="4"/>
  <c r="J1352" i="4"/>
  <c r="K1352" i="4"/>
  <c r="L1352" i="4"/>
  <c r="B1353" i="4"/>
  <c r="C1353" i="4"/>
  <c r="D1353" i="4"/>
  <c r="E1353" i="4"/>
  <c r="F1353" i="4"/>
  <c r="G1353" i="4"/>
  <c r="H1353" i="4"/>
  <c r="I1353" i="4"/>
  <c r="J1353" i="4"/>
  <c r="K1353" i="4"/>
  <c r="L1353" i="4"/>
  <c r="B1354" i="4"/>
  <c r="C1354" i="4"/>
  <c r="D1354" i="4"/>
  <c r="E1354" i="4"/>
  <c r="F1354" i="4"/>
  <c r="G1354" i="4"/>
  <c r="H1354" i="4"/>
  <c r="I1354" i="4"/>
  <c r="J1354" i="4"/>
  <c r="K1354" i="4"/>
  <c r="L1354" i="4"/>
  <c r="B1355" i="4"/>
  <c r="C1355" i="4"/>
  <c r="D1355" i="4"/>
  <c r="E1355" i="4"/>
  <c r="F1355" i="4"/>
  <c r="G1355" i="4"/>
  <c r="H1355" i="4"/>
  <c r="I1355" i="4"/>
  <c r="J1355" i="4"/>
  <c r="K1355" i="4"/>
  <c r="L1355" i="4"/>
  <c r="B1356" i="4"/>
  <c r="C1356" i="4"/>
  <c r="D1356" i="4"/>
  <c r="E1356" i="4"/>
  <c r="F1356" i="4"/>
  <c r="G1356" i="4"/>
  <c r="H1356" i="4"/>
  <c r="I1356" i="4"/>
  <c r="J1356" i="4"/>
  <c r="K1356" i="4"/>
  <c r="L1356" i="4"/>
  <c r="B1357" i="4"/>
  <c r="C1357" i="4"/>
  <c r="D1357" i="4"/>
  <c r="E1357" i="4"/>
  <c r="F1357" i="4"/>
  <c r="G1357" i="4"/>
  <c r="H1357" i="4"/>
  <c r="I1357" i="4"/>
  <c r="J1357" i="4"/>
  <c r="K1357" i="4"/>
  <c r="L1357" i="4"/>
  <c r="B1358" i="4"/>
  <c r="C1358" i="4"/>
  <c r="D1358" i="4"/>
  <c r="E1358" i="4"/>
  <c r="F1358" i="4"/>
  <c r="G1358" i="4"/>
  <c r="H1358" i="4"/>
  <c r="I1358" i="4"/>
  <c r="J1358" i="4"/>
  <c r="K1358" i="4"/>
  <c r="L1358" i="4"/>
  <c r="B1359" i="4"/>
  <c r="C1359" i="4"/>
  <c r="D1359" i="4"/>
  <c r="E1359" i="4"/>
  <c r="F1359" i="4"/>
  <c r="G1359" i="4"/>
  <c r="H1359" i="4"/>
  <c r="I1359" i="4"/>
  <c r="J1359" i="4"/>
  <c r="K1359" i="4"/>
  <c r="L1359" i="4"/>
  <c r="B1360" i="4"/>
  <c r="C1360" i="4"/>
  <c r="D1360" i="4"/>
  <c r="E1360" i="4"/>
  <c r="F1360" i="4"/>
  <c r="G1360" i="4"/>
  <c r="H1360" i="4"/>
  <c r="I1360" i="4"/>
  <c r="J1360" i="4"/>
  <c r="K1360" i="4"/>
  <c r="L1360" i="4"/>
  <c r="B1361" i="4"/>
  <c r="C1361" i="4"/>
  <c r="D1361" i="4"/>
  <c r="E1361" i="4"/>
  <c r="F1361" i="4"/>
  <c r="G1361" i="4"/>
  <c r="H1361" i="4"/>
  <c r="I1361" i="4"/>
  <c r="J1361" i="4"/>
  <c r="K1361" i="4"/>
  <c r="L1361" i="4"/>
  <c r="B1362" i="4"/>
  <c r="C1362" i="4"/>
  <c r="D1362" i="4"/>
  <c r="E1362" i="4"/>
  <c r="F1362" i="4"/>
  <c r="G1362" i="4"/>
  <c r="H1362" i="4"/>
  <c r="I1362" i="4"/>
  <c r="J1362" i="4"/>
  <c r="K1362" i="4"/>
  <c r="L1362" i="4"/>
  <c r="B1363" i="4"/>
  <c r="C1363" i="4"/>
  <c r="D1363" i="4"/>
  <c r="E1363" i="4"/>
  <c r="F1363" i="4"/>
  <c r="G1363" i="4"/>
  <c r="H1363" i="4"/>
  <c r="I1363" i="4"/>
  <c r="J1363" i="4"/>
  <c r="K1363" i="4"/>
  <c r="L1363" i="4"/>
  <c r="B1364" i="4"/>
  <c r="C1364" i="4"/>
  <c r="D1364" i="4"/>
  <c r="E1364" i="4"/>
  <c r="F1364" i="4"/>
  <c r="G1364" i="4"/>
  <c r="H1364" i="4"/>
  <c r="I1364" i="4"/>
  <c r="J1364" i="4"/>
  <c r="K1364" i="4"/>
  <c r="L1364" i="4"/>
  <c r="B1365" i="4"/>
  <c r="C1365" i="4"/>
  <c r="D1365" i="4"/>
  <c r="E1365" i="4"/>
  <c r="F1365" i="4"/>
  <c r="G1365" i="4"/>
  <c r="H1365" i="4"/>
  <c r="I1365" i="4"/>
  <c r="J1365" i="4"/>
  <c r="K1365" i="4"/>
  <c r="L1365" i="4"/>
  <c r="B1366" i="4"/>
  <c r="C1366" i="4"/>
  <c r="D1366" i="4"/>
  <c r="E1366" i="4"/>
  <c r="F1366" i="4"/>
  <c r="G1366" i="4"/>
  <c r="H1366" i="4"/>
  <c r="I1366" i="4"/>
  <c r="J1366" i="4"/>
  <c r="K1366" i="4"/>
  <c r="L1366" i="4"/>
  <c r="B1367" i="4"/>
  <c r="C1367" i="4"/>
  <c r="D1367" i="4"/>
  <c r="E1367" i="4"/>
  <c r="F1367" i="4"/>
  <c r="G1367" i="4"/>
  <c r="H1367" i="4"/>
  <c r="I1367" i="4"/>
  <c r="J1367" i="4"/>
  <c r="K1367" i="4"/>
  <c r="L1367" i="4"/>
  <c r="B1368" i="4"/>
  <c r="C1368" i="4"/>
  <c r="D1368" i="4"/>
  <c r="E1368" i="4"/>
  <c r="F1368" i="4"/>
  <c r="G1368" i="4"/>
  <c r="H1368" i="4"/>
  <c r="I1368" i="4"/>
  <c r="J1368" i="4"/>
  <c r="K1368" i="4"/>
  <c r="L1368" i="4"/>
  <c r="B1369" i="4"/>
  <c r="C1369" i="4"/>
  <c r="D1369" i="4"/>
  <c r="E1369" i="4"/>
  <c r="F1369" i="4"/>
  <c r="G1369" i="4"/>
  <c r="H1369" i="4"/>
  <c r="I1369" i="4"/>
  <c r="J1369" i="4"/>
  <c r="K1369" i="4"/>
  <c r="L1369" i="4"/>
  <c r="B1370" i="4"/>
  <c r="C1370" i="4"/>
  <c r="D1370" i="4"/>
  <c r="E1370" i="4"/>
  <c r="F1370" i="4"/>
  <c r="G1370" i="4"/>
  <c r="H1370" i="4"/>
  <c r="I1370" i="4"/>
  <c r="J1370" i="4"/>
  <c r="K1370" i="4"/>
  <c r="L1370" i="4"/>
  <c r="B1371" i="4"/>
  <c r="C1371" i="4"/>
  <c r="D1371" i="4"/>
  <c r="E1371" i="4"/>
  <c r="F1371" i="4"/>
  <c r="G1371" i="4"/>
  <c r="H1371" i="4"/>
  <c r="I1371" i="4"/>
  <c r="J1371" i="4"/>
  <c r="K1371" i="4"/>
  <c r="L1371" i="4"/>
  <c r="B1372" i="4"/>
  <c r="C1372" i="4"/>
  <c r="D1372" i="4"/>
  <c r="E1372" i="4"/>
  <c r="F1372" i="4"/>
  <c r="G1372" i="4"/>
  <c r="H1372" i="4"/>
  <c r="I1372" i="4"/>
  <c r="J1372" i="4"/>
  <c r="K1372" i="4"/>
  <c r="L1372" i="4"/>
  <c r="B1373" i="4"/>
  <c r="C1373" i="4"/>
  <c r="D1373" i="4"/>
  <c r="E1373" i="4"/>
  <c r="F1373" i="4"/>
  <c r="G1373" i="4"/>
  <c r="H1373" i="4"/>
  <c r="I1373" i="4"/>
  <c r="J1373" i="4"/>
  <c r="K1373" i="4"/>
  <c r="L1373" i="4"/>
  <c r="B1374" i="4"/>
  <c r="C1374" i="4"/>
  <c r="D1374" i="4"/>
  <c r="E1374" i="4"/>
  <c r="F1374" i="4"/>
  <c r="G1374" i="4"/>
  <c r="H1374" i="4"/>
  <c r="I1374" i="4"/>
  <c r="J1374" i="4"/>
  <c r="K1374" i="4"/>
  <c r="L1374" i="4"/>
  <c r="B1375" i="4"/>
  <c r="C1375" i="4"/>
  <c r="D1375" i="4"/>
  <c r="E1375" i="4"/>
  <c r="F1375" i="4"/>
  <c r="G1375" i="4"/>
  <c r="H1375" i="4"/>
  <c r="I1375" i="4"/>
  <c r="J1375" i="4"/>
  <c r="K1375" i="4"/>
  <c r="L1375" i="4"/>
  <c r="B1376" i="4"/>
  <c r="C1376" i="4"/>
  <c r="D1376" i="4"/>
  <c r="E1376" i="4"/>
  <c r="F1376" i="4"/>
  <c r="G1376" i="4"/>
  <c r="H1376" i="4"/>
  <c r="I1376" i="4"/>
  <c r="J1376" i="4"/>
  <c r="K1376" i="4"/>
  <c r="L1376" i="4"/>
  <c r="B1377" i="4"/>
  <c r="C1377" i="4"/>
  <c r="D1377" i="4"/>
  <c r="E1377" i="4"/>
  <c r="F1377" i="4"/>
  <c r="G1377" i="4"/>
  <c r="H1377" i="4"/>
  <c r="I1377" i="4"/>
  <c r="J1377" i="4"/>
  <c r="K1377" i="4"/>
  <c r="L1377" i="4"/>
  <c r="B1378" i="4"/>
  <c r="C1378" i="4"/>
  <c r="D1378" i="4"/>
  <c r="E1378" i="4"/>
  <c r="F1378" i="4"/>
  <c r="G1378" i="4"/>
  <c r="H1378" i="4"/>
  <c r="I1378" i="4"/>
  <c r="J1378" i="4"/>
  <c r="K1378" i="4"/>
  <c r="L1378" i="4"/>
  <c r="B1379" i="4"/>
  <c r="C1379" i="4"/>
  <c r="D1379" i="4"/>
  <c r="E1379" i="4"/>
  <c r="F1379" i="4"/>
  <c r="G1379" i="4"/>
  <c r="H1379" i="4"/>
  <c r="I1379" i="4"/>
  <c r="J1379" i="4"/>
  <c r="K1379" i="4"/>
  <c r="L1379" i="4"/>
  <c r="B1380" i="4"/>
  <c r="C1380" i="4"/>
  <c r="D1380" i="4"/>
  <c r="E1380" i="4"/>
  <c r="F1380" i="4"/>
  <c r="G1380" i="4"/>
  <c r="H1380" i="4"/>
  <c r="I1380" i="4"/>
  <c r="J1380" i="4"/>
  <c r="K1380" i="4"/>
  <c r="L1380" i="4"/>
  <c r="B1381" i="4"/>
  <c r="C1381" i="4"/>
  <c r="D1381" i="4"/>
  <c r="E1381" i="4"/>
  <c r="F1381" i="4"/>
  <c r="G1381" i="4"/>
  <c r="H1381" i="4"/>
  <c r="I1381" i="4"/>
  <c r="J1381" i="4"/>
  <c r="K1381" i="4"/>
  <c r="L1381" i="4"/>
  <c r="B1382" i="4"/>
  <c r="C1382" i="4"/>
  <c r="D1382" i="4"/>
  <c r="E1382" i="4"/>
  <c r="F1382" i="4"/>
  <c r="G1382" i="4"/>
  <c r="H1382" i="4"/>
  <c r="I1382" i="4"/>
  <c r="J1382" i="4"/>
  <c r="K1382" i="4"/>
  <c r="L1382" i="4"/>
  <c r="B1383" i="4"/>
  <c r="C1383" i="4"/>
  <c r="D1383" i="4"/>
  <c r="E1383" i="4"/>
  <c r="F1383" i="4"/>
  <c r="G1383" i="4"/>
  <c r="H1383" i="4"/>
  <c r="I1383" i="4"/>
  <c r="J1383" i="4"/>
  <c r="K1383" i="4"/>
  <c r="L1383" i="4"/>
  <c r="B1384" i="4"/>
  <c r="C1384" i="4"/>
  <c r="D1384" i="4"/>
  <c r="E1384" i="4"/>
  <c r="F1384" i="4"/>
  <c r="G1384" i="4"/>
  <c r="H1384" i="4"/>
  <c r="I1384" i="4"/>
  <c r="J1384" i="4"/>
  <c r="K1384" i="4"/>
  <c r="L1384" i="4"/>
  <c r="B1385" i="4"/>
  <c r="C1385" i="4"/>
  <c r="D1385" i="4"/>
  <c r="E1385" i="4"/>
  <c r="F1385" i="4"/>
  <c r="G1385" i="4"/>
  <c r="H1385" i="4"/>
  <c r="I1385" i="4"/>
  <c r="J1385" i="4"/>
  <c r="K1385" i="4"/>
  <c r="L1385" i="4"/>
  <c r="B1386" i="4"/>
  <c r="C1386" i="4"/>
  <c r="D1386" i="4"/>
  <c r="E1386" i="4"/>
  <c r="F1386" i="4"/>
  <c r="G1386" i="4"/>
  <c r="H1386" i="4"/>
  <c r="I1386" i="4"/>
  <c r="J1386" i="4"/>
  <c r="K1386" i="4"/>
  <c r="L1386" i="4"/>
  <c r="B1387" i="4"/>
  <c r="C1387" i="4"/>
  <c r="D1387" i="4"/>
  <c r="E1387" i="4"/>
  <c r="F1387" i="4"/>
  <c r="G1387" i="4"/>
  <c r="H1387" i="4"/>
  <c r="I1387" i="4"/>
  <c r="J1387" i="4"/>
  <c r="K1387" i="4"/>
  <c r="L1387" i="4"/>
  <c r="B1388" i="4"/>
  <c r="C1388" i="4"/>
  <c r="D1388" i="4"/>
  <c r="E1388" i="4"/>
  <c r="F1388" i="4"/>
  <c r="G1388" i="4"/>
  <c r="H1388" i="4"/>
  <c r="I1388" i="4"/>
  <c r="J1388" i="4"/>
  <c r="K1388" i="4"/>
  <c r="L1388" i="4"/>
  <c r="B1389" i="4"/>
  <c r="C1389" i="4"/>
  <c r="D1389" i="4"/>
  <c r="E1389" i="4"/>
  <c r="F1389" i="4"/>
  <c r="G1389" i="4"/>
  <c r="H1389" i="4"/>
  <c r="I1389" i="4"/>
  <c r="J1389" i="4"/>
  <c r="K1389" i="4"/>
  <c r="L1389" i="4"/>
  <c r="B1390" i="4"/>
  <c r="C1390" i="4"/>
  <c r="D1390" i="4"/>
  <c r="E1390" i="4"/>
  <c r="F1390" i="4"/>
  <c r="G1390" i="4"/>
  <c r="H1390" i="4"/>
  <c r="I1390" i="4"/>
  <c r="J1390" i="4"/>
  <c r="K1390" i="4"/>
  <c r="L1390" i="4"/>
  <c r="B1391" i="4"/>
  <c r="C1391" i="4"/>
  <c r="D1391" i="4"/>
  <c r="E1391" i="4"/>
  <c r="F1391" i="4"/>
  <c r="G1391" i="4"/>
  <c r="H1391" i="4"/>
  <c r="I1391" i="4"/>
  <c r="J1391" i="4"/>
  <c r="K1391" i="4"/>
  <c r="L1391" i="4"/>
  <c r="B1392" i="4"/>
  <c r="C1392" i="4"/>
  <c r="D1392" i="4"/>
  <c r="E1392" i="4"/>
  <c r="F1392" i="4"/>
  <c r="G1392" i="4"/>
  <c r="H1392" i="4"/>
  <c r="I1392" i="4"/>
  <c r="J1392" i="4"/>
  <c r="K1392" i="4"/>
  <c r="L1392" i="4"/>
  <c r="B1393" i="4"/>
  <c r="C1393" i="4"/>
  <c r="D1393" i="4"/>
  <c r="E1393" i="4"/>
  <c r="F1393" i="4"/>
  <c r="G1393" i="4"/>
  <c r="H1393" i="4"/>
  <c r="I1393" i="4"/>
  <c r="J1393" i="4"/>
  <c r="K1393" i="4"/>
  <c r="L1393" i="4"/>
  <c r="B1394" i="4"/>
  <c r="C1394" i="4"/>
  <c r="D1394" i="4"/>
  <c r="E1394" i="4"/>
  <c r="F1394" i="4"/>
  <c r="G1394" i="4"/>
  <c r="H1394" i="4"/>
  <c r="I1394" i="4"/>
  <c r="J1394" i="4"/>
  <c r="K1394" i="4"/>
  <c r="L1394" i="4"/>
  <c r="B1395" i="4"/>
  <c r="C1395" i="4"/>
  <c r="D1395" i="4"/>
  <c r="E1395" i="4"/>
  <c r="F1395" i="4"/>
  <c r="G1395" i="4"/>
  <c r="H1395" i="4"/>
  <c r="I1395" i="4"/>
  <c r="J1395" i="4"/>
  <c r="K1395" i="4"/>
  <c r="L1395" i="4"/>
  <c r="B1396" i="4"/>
  <c r="C1396" i="4"/>
  <c r="D1396" i="4"/>
  <c r="E1396" i="4"/>
  <c r="F1396" i="4"/>
  <c r="G1396" i="4"/>
  <c r="H1396" i="4"/>
  <c r="I1396" i="4"/>
  <c r="J1396" i="4"/>
  <c r="K1396" i="4"/>
  <c r="L1396" i="4"/>
  <c r="B1397" i="4"/>
  <c r="C1397" i="4"/>
  <c r="D1397" i="4"/>
  <c r="E1397" i="4"/>
  <c r="F1397" i="4"/>
  <c r="G1397" i="4"/>
  <c r="H1397" i="4"/>
  <c r="I1397" i="4"/>
  <c r="J1397" i="4"/>
  <c r="K1397" i="4"/>
  <c r="L1397" i="4"/>
  <c r="B1398" i="4"/>
  <c r="C1398" i="4"/>
  <c r="D1398" i="4"/>
  <c r="E1398" i="4"/>
  <c r="F1398" i="4"/>
  <c r="G1398" i="4"/>
  <c r="H1398" i="4"/>
  <c r="I1398" i="4"/>
  <c r="J1398" i="4"/>
  <c r="K1398" i="4"/>
  <c r="L1398" i="4"/>
  <c r="B1399" i="4"/>
  <c r="C1399" i="4"/>
  <c r="D1399" i="4"/>
  <c r="E1399" i="4"/>
  <c r="F1399" i="4"/>
  <c r="G1399" i="4"/>
  <c r="H1399" i="4"/>
  <c r="I1399" i="4"/>
  <c r="J1399" i="4"/>
  <c r="K1399" i="4"/>
  <c r="L1399" i="4"/>
  <c r="B1400" i="4"/>
  <c r="C1400" i="4"/>
  <c r="D1400" i="4"/>
  <c r="E1400" i="4"/>
  <c r="F1400" i="4"/>
  <c r="G1400" i="4"/>
  <c r="H1400" i="4"/>
  <c r="I1400" i="4"/>
  <c r="J1400" i="4"/>
  <c r="K1400" i="4"/>
  <c r="L1400" i="4"/>
  <c r="B1401" i="4"/>
  <c r="C1401" i="4"/>
  <c r="D1401" i="4"/>
  <c r="E1401" i="4"/>
  <c r="F1401" i="4"/>
  <c r="G1401" i="4"/>
  <c r="H1401" i="4"/>
  <c r="I1401" i="4"/>
  <c r="J1401" i="4"/>
  <c r="K1401" i="4"/>
  <c r="L1401" i="4"/>
  <c r="B1402" i="4"/>
  <c r="C1402" i="4"/>
  <c r="D1402" i="4"/>
  <c r="E1402" i="4"/>
  <c r="F1402" i="4"/>
  <c r="G1402" i="4"/>
  <c r="H1402" i="4"/>
  <c r="I1402" i="4"/>
  <c r="J1402" i="4"/>
  <c r="K1402" i="4"/>
  <c r="L1402" i="4"/>
  <c r="B1403" i="4"/>
  <c r="C1403" i="4"/>
  <c r="D1403" i="4"/>
  <c r="E1403" i="4"/>
  <c r="F1403" i="4"/>
  <c r="G1403" i="4"/>
  <c r="H1403" i="4"/>
  <c r="I1403" i="4"/>
  <c r="J1403" i="4"/>
  <c r="K1403" i="4"/>
  <c r="L1403" i="4"/>
  <c r="B1404" i="4"/>
  <c r="C1404" i="4"/>
  <c r="D1404" i="4"/>
  <c r="E1404" i="4"/>
  <c r="F1404" i="4"/>
  <c r="G1404" i="4"/>
  <c r="H1404" i="4"/>
  <c r="I1404" i="4"/>
  <c r="J1404" i="4"/>
  <c r="K1404" i="4"/>
  <c r="L1404" i="4"/>
  <c r="B1405" i="4"/>
  <c r="C1405" i="4"/>
  <c r="D1405" i="4"/>
  <c r="E1405" i="4"/>
  <c r="F1405" i="4"/>
  <c r="G1405" i="4"/>
  <c r="H1405" i="4"/>
  <c r="I1405" i="4"/>
  <c r="J1405" i="4"/>
  <c r="K1405" i="4"/>
  <c r="L1405" i="4"/>
  <c r="B1406" i="4"/>
  <c r="C1406" i="4"/>
  <c r="D1406" i="4"/>
  <c r="E1406" i="4"/>
  <c r="F1406" i="4"/>
  <c r="G1406" i="4"/>
  <c r="H1406" i="4"/>
  <c r="I1406" i="4"/>
  <c r="J1406" i="4"/>
  <c r="K1406" i="4"/>
  <c r="L1406" i="4"/>
  <c r="B1407" i="4"/>
  <c r="C1407" i="4"/>
  <c r="D1407" i="4"/>
  <c r="E1407" i="4"/>
  <c r="F1407" i="4"/>
  <c r="G1407" i="4"/>
  <c r="H1407" i="4"/>
  <c r="I1407" i="4"/>
  <c r="J1407" i="4"/>
  <c r="K1407" i="4"/>
  <c r="L1407" i="4"/>
  <c r="B1408" i="4"/>
  <c r="C1408" i="4"/>
  <c r="D1408" i="4"/>
  <c r="E1408" i="4"/>
  <c r="F1408" i="4"/>
  <c r="G1408" i="4"/>
  <c r="H1408" i="4"/>
  <c r="I1408" i="4"/>
  <c r="J1408" i="4"/>
  <c r="K1408" i="4"/>
  <c r="L1408" i="4"/>
  <c r="B1409" i="4"/>
  <c r="C1409" i="4"/>
  <c r="D1409" i="4"/>
  <c r="E1409" i="4"/>
  <c r="F1409" i="4"/>
  <c r="G1409" i="4"/>
  <c r="H1409" i="4"/>
  <c r="I1409" i="4"/>
  <c r="J1409" i="4"/>
  <c r="K1409" i="4"/>
  <c r="L1409" i="4"/>
  <c r="B1410" i="4"/>
  <c r="C1410" i="4"/>
  <c r="D1410" i="4"/>
  <c r="E1410" i="4"/>
  <c r="F1410" i="4"/>
  <c r="G1410" i="4"/>
  <c r="H1410" i="4"/>
  <c r="I1410" i="4"/>
  <c r="J1410" i="4"/>
  <c r="K1410" i="4"/>
  <c r="L1410" i="4"/>
  <c r="B1411" i="4"/>
  <c r="C1411" i="4"/>
  <c r="D1411" i="4"/>
  <c r="E1411" i="4"/>
  <c r="F1411" i="4"/>
  <c r="G1411" i="4"/>
  <c r="H1411" i="4"/>
  <c r="I1411" i="4"/>
  <c r="J1411" i="4"/>
  <c r="K1411" i="4"/>
  <c r="L1411" i="4"/>
  <c r="B1412" i="4"/>
  <c r="C1412" i="4"/>
  <c r="D1412" i="4"/>
  <c r="E1412" i="4"/>
  <c r="F1412" i="4"/>
  <c r="G1412" i="4"/>
  <c r="H1412" i="4"/>
  <c r="I1412" i="4"/>
  <c r="J1412" i="4"/>
  <c r="K1412" i="4"/>
  <c r="L1412" i="4"/>
  <c r="B1413" i="4"/>
  <c r="C1413" i="4"/>
  <c r="D1413" i="4"/>
  <c r="E1413" i="4"/>
  <c r="F1413" i="4"/>
  <c r="G1413" i="4"/>
  <c r="H1413" i="4"/>
  <c r="I1413" i="4"/>
  <c r="J1413" i="4"/>
  <c r="K1413" i="4"/>
  <c r="L1413" i="4"/>
  <c r="B1414" i="4"/>
  <c r="C1414" i="4"/>
  <c r="D1414" i="4"/>
  <c r="E1414" i="4"/>
  <c r="F1414" i="4"/>
  <c r="G1414" i="4"/>
  <c r="H1414" i="4"/>
  <c r="I1414" i="4"/>
  <c r="J1414" i="4"/>
  <c r="K1414" i="4"/>
  <c r="L1414" i="4"/>
  <c r="B1415" i="4"/>
  <c r="C1415" i="4"/>
  <c r="D1415" i="4"/>
  <c r="E1415" i="4"/>
  <c r="F1415" i="4"/>
  <c r="G1415" i="4"/>
  <c r="H1415" i="4"/>
  <c r="I1415" i="4"/>
  <c r="J1415" i="4"/>
  <c r="K1415" i="4"/>
  <c r="L1415" i="4"/>
  <c r="B1416" i="4"/>
  <c r="C1416" i="4"/>
  <c r="D1416" i="4"/>
  <c r="E1416" i="4"/>
  <c r="F1416" i="4"/>
  <c r="G1416" i="4"/>
  <c r="H1416" i="4"/>
  <c r="I1416" i="4"/>
  <c r="J1416" i="4"/>
  <c r="K1416" i="4"/>
  <c r="L1416" i="4"/>
  <c r="B1417" i="4"/>
  <c r="C1417" i="4"/>
  <c r="D1417" i="4"/>
  <c r="E1417" i="4"/>
  <c r="F1417" i="4"/>
  <c r="G1417" i="4"/>
  <c r="H1417" i="4"/>
  <c r="I1417" i="4"/>
  <c r="J1417" i="4"/>
  <c r="K1417" i="4"/>
  <c r="L1417" i="4"/>
  <c r="B1418" i="4"/>
  <c r="C1418" i="4"/>
  <c r="D1418" i="4"/>
  <c r="E1418" i="4"/>
  <c r="F1418" i="4"/>
  <c r="G1418" i="4"/>
  <c r="H1418" i="4"/>
  <c r="I1418" i="4"/>
  <c r="J1418" i="4"/>
  <c r="K1418" i="4"/>
  <c r="L1418" i="4"/>
  <c r="B1419" i="4"/>
  <c r="C1419" i="4"/>
  <c r="D1419" i="4"/>
  <c r="E1419" i="4"/>
  <c r="F1419" i="4"/>
  <c r="G1419" i="4"/>
  <c r="H1419" i="4"/>
  <c r="I1419" i="4"/>
  <c r="J1419" i="4"/>
  <c r="K1419" i="4"/>
  <c r="L1419" i="4"/>
  <c r="B1420" i="4"/>
  <c r="C1420" i="4"/>
  <c r="D1420" i="4"/>
  <c r="E1420" i="4"/>
  <c r="F1420" i="4"/>
  <c r="G1420" i="4"/>
  <c r="H1420" i="4"/>
  <c r="I1420" i="4"/>
  <c r="J1420" i="4"/>
  <c r="K1420" i="4"/>
  <c r="L1420" i="4"/>
  <c r="B1421" i="4"/>
  <c r="C1421" i="4"/>
  <c r="D1421" i="4"/>
  <c r="E1421" i="4"/>
  <c r="F1421" i="4"/>
  <c r="G1421" i="4"/>
  <c r="H1421" i="4"/>
  <c r="I1421" i="4"/>
  <c r="J1421" i="4"/>
  <c r="K1421" i="4"/>
  <c r="L1421" i="4"/>
  <c r="B1422" i="4"/>
  <c r="C1422" i="4"/>
  <c r="D1422" i="4"/>
  <c r="E1422" i="4"/>
  <c r="F1422" i="4"/>
  <c r="G1422" i="4"/>
  <c r="H1422" i="4"/>
  <c r="I1422" i="4"/>
  <c r="J1422" i="4"/>
  <c r="K1422" i="4"/>
  <c r="L1422" i="4"/>
  <c r="B1423" i="4"/>
  <c r="C1423" i="4"/>
  <c r="D1423" i="4"/>
  <c r="E1423" i="4"/>
  <c r="F1423" i="4"/>
  <c r="G1423" i="4"/>
  <c r="H1423" i="4"/>
  <c r="I1423" i="4"/>
  <c r="J1423" i="4"/>
  <c r="K1423" i="4"/>
  <c r="L1423" i="4"/>
  <c r="B1424" i="4"/>
  <c r="C1424" i="4"/>
  <c r="D1424" i="4"/>
  <c r="E1424" i="4"/>
  <c r="F1424" i="4"/>
  <c r="G1424" i="4"/>
  <c r="H1424" i="4"/>
  <c r="I1424" i="4"/>
  <c r="J1424" i="4"/>
  <c r="K1424" i="4"/>
  <c r="L1424" i="4"/>
  <c r="B1425" i="4"/>
  <c r="C1425" i="4"/>
  <c r="D1425" i="4"/>
  <c r="E1425" i="4"/>
  <c r="F1425" i="4"/>
  <c r="G1425" i="4"/>
  <c r="H1425" i="4"/>
  <c r="I1425" i="4"/>
  <c r="J1425" i="4"/>
  <c r="K1425" i="4"/>
  <c r="L1425" i="4"/>
  <c r="B1426" i="4"/>
  <c r="C1426" i="4"/>
  <c r="D1426" i="4"/>
  <c r="E1426" i="4"/>
  <c r="F1426" i="4"/>
  <c r="G1426" i="4"/>
  <c r="H1426" i="4"/>
  <c r="I1426" i="4"/>
  <c r="J1426" i="4"/>
  <c r="K1426" i="4"/>
  <c r="L1426" i="4"/>
  <c r="B1427" i="4"/>
  <c r="C1427" i="4"/>
  <c r="D1427" i="4"/>
  <c r="E1427" i="4"/>
  <c r="F1427" i="4"/>
  <c r="G1427" i="4"/>
  <c r="H1427" i="4"/>
  <c r="I1427" i="4"/>
  <c r="J1427" i="4"/>
  <c r="K1427" i="4"/>
  <c r="L1427" i="4"/>
  <c r="B1428" i="4"/>
  <c r="C1428" i="4"/>
  <c r="D1428" i="4"/>
  <c r="E1428" i="4"/>
  <c r="F1428" i="4"/>
  <c r="G1428" i="4"/>
  <c r="H1428" i="4"/>
  <c r="I1428" i="4"/>
  <c r="J1428" i="4"/>
  <c r="K1428" i="4"/>
  <c r="L1428" i="4"/>
  <c r="B1429" i="4"/>
  <c r="C1429" i="4"/>
  <c r="D1429" i="4"/>
  <c r="E1429" i="4"/>
  <c r="F1429" i="4"/>
  <c r="G1429" i="4"/>
  <c r="H1429" i="4"/>
  <c r="I1429" i="4"/>
  <c r="J1429" i="4"/>
  <c r="K1429" i="4"/>
  <c r="L1429" i="4"/>
  <c r="B1430" i="4"/>
  <c r="C1430" i="4"/>
  <c r="D1430" i="4"/>
  <c r="E1430" i="4"/>
  <c r="F1430" i="4"/>
  <c r="G1430" i="4"/>
  <c r="H1430" i="4"/>
  <c r="I1430" i="4"/>
  <c r="J1430" i="4"/>
  <c r="K1430" i="4"/>
  <c r="L1430" i="4"/>
  <c r="B1431" i="4"/>
  <c r="C1431" i="4"/>
  <c r="D1431" i="4"/>
  <c r="E1431" i="4"/>
  <c r="F1431" i="4"/>
  <c r="G1431" i="4"/>
  <c r="H1431" i="4"/>
  <c r="I1431" i="4"/>
  <c r="J1431" i="4"/>
  <c r="K1431" i="4"/>
  <c r="L1431" i="4"/>
  <c r="B1432" i="4"/>
  <c r="C1432" i="4"/>
  <c r="D1432" i="4"/>
  <c r="E1432" i="4"/>
  <c r="F1432" i="4"/>
  <c r="G1432" i="4"/>
  <c r="H1432" i="4"/>
  <c r="I1432" i="4"/>
  <c r="J1432" i="4"/>
  <c r="K1432" i="4"/>
  <c r="L1432" i="4"/>
  <c r="B1433" i="4"/>
  <c r="C1433" i="4"/>
  <c r="D1433" i="4"/>
  <c r="E1433" i="4"/>
  <c r="F1433" i="4"/>
  <c r="G1433" i="4"/>
  <c r="H1433" i="4"/>
  <c r="I1433" i="4"/>
  <c r="J1433" i="4"/>
  <c r="K1433" i="4"/>
  <c r="L1433" i="4"/>
  <c r="B1434" i="4"/>
  <c r="C1434" i="4"/>
  <c r="D1434" i="4"/>
  <c r="E1434" i="4"/>
  <c r="F1434" i="4"/>
  <c r="G1434" i="4"/>
  <c r="H1434" i="4"/>
  <c r="I1434" i="4"/>
  <c r="J1434" i="4"/>
  <c r="K1434" i="4"/>
  <c r="L1434" i="4"/>
  <c r="B1435" i="4"/>
  <c r="C1435" i="4"/>
  <c r="D1435" i="4"/>
  <c r="E1435" i="4"/>
  <c r="F1435" i="4"/>
  <c r="G1435" i="4"/>
  <c r="H1435" i="4"/>
  <c r="I1435" i="4"/>
  <c r="J1435" i="4"/>
  <c r="K1435" i="4"/>
  <c r="L1435" i="4"/>
  <c r="B1436" i="4"/>
  <c r="C1436" i="4"/>
  <c r="D1436" i="4"/>
  <c r="E1436" i="4"/>
  <c r="F1436" i="4"/>
  <c r="G1436" i="4"/>
  <c r="H1436" i="4"/>
  <c r="I1436" i="4"/>
  <c r="J1436" i="4"/>
  <c r="K1436" i="4"/>
  <c r="L1436" i="4"/>
  <c r="B1437" i="4"/>
  <c r="C1437" i="4"/>
  <c r="D1437" i="4"/>
  <c r="E1437" i="4"/>
  <c r="F1437" i="4"/>
  <c r="G1437" i="4"/>
  <c r="H1437" i="4"/>
  <c r="I1437" i="4"/>
  <c r="J1437" i="4"/>
  <c r="K1437" i="4"/>
  <c r="L1437" i="4"/>
  <c r="B1438" i="4"/>
  <c r="C1438" i="4"/>
  <c r="D1438" i="4"/>
  <c r="E1438" i="4"/>
  <c r="F1438" i="4"/>
  <c r="G1438" i="4"/>
  <c r="H1438" i="4"/>
  <c r="I1438" i="4"/>
  <c r="J1438" i="4"/>
  <c r="K1438" i="4"/>
  <c r="L1438" i="4"/>
  <c r="B1439" i="4"/>
  <c r="C1439" i="4"/>
  <c r="D1439" i="4"/>
  <c r="E1439" i="4"/>
  <c r="F1439" i="4"/>
  <c r="G1439" i="4"/>
  <c r="H1439" i="4"/>
  <c r="I1439" i="4"/>
  <c r="J1439" i="4"/>
  <c r="K1439" i="4"/>
  <c r="L1439" i="4"/>
  <c r="B1440" i="4"/>
  <c r="C1440" i="4"/>
  <c r="D1440" i="4"/>
  <c r="E1440" i="4"/>
  <c r="F1440" i="4"/>
  <c r="G1440" i="4"/>
  <c r="H1440" i="4"/>
  <c r="I1440" i="4"/>
  <c r="J1440" i="4"/>
  <c r="K1440" i="4"/>
  <c r="L1440" i="4"/>
  <c r="B1441" i="4"/>
  <c r="C1441" i="4"/>
  <c r="D1441" i="4"/>
  <c r="E1441" i="4"/>
  <c r="F1441" i="4"/>
  <c r="G1441" i="4"/>
  <c r="H1441" i="4"/>
  <c r="I1441" i="4"/>
  <c r="J1441" i="4"/>
  <c r="K1441" i="4"/>
  <c r="L1441" i="4"/>
  <c r="B1442" i="4"/>
  <c r="C1442" i="4"/>
  <c r="D1442" i="4"/>
  <c r="E1442" i="4"/>
  <c r="F1442" i="4"/>
  <c r="G1442" i="4"/>
  <c r="H1442" i="4"/>
  <c r="I1442" i="4"/>
  <c r="J1442" i="4"/>
  <c r="K1442" i="4"/>
  <c r="L1442" i="4"/>
  <c r="B1443" i="4"/>
  <c r="C1443" i="4"/>
  <c r="D1443" i="4"/>
  <c r="E1443" i="4"/>
  <c r="F1443" i="4"/>
  <c r="G1443" i="4"/>
  <c r="H1443" i="4"/>
  <c r="I1443" i="4"/>
  <c r="J1443" i="4"/>
  <c r="K1443" i="4"/>
  <c r="L1443" i="4"/>
  <c r="B1444" i="4"/>
  <c r="C1444" i="4"/>
  <c r="D1444" i="4"/>
  <c r="E1444" i="4"/>
  <c r="F1444" i="4"/>
  <c r="G1444" i="4"/>
  <c r="H1444" i="4"/>
  <c r="I1444" i="4"/>
  <c r="J1444" i="4"/>
  <c r="K1444" i="4"/>
  <c r="L1444" i="4"/>
  <c r="B1445" i="4"/>
  <c r="C1445" i="4"/>
  <c r="D1445" i="4"/>
  <c r="E1445" i="4"/>
  <c r="F1445" i="4"/>
  <c r="G1445" i="4"/>
  <c r="H1445" i="4"/>
  <c r="I1445" i="4"/>
  <c r="J1445" i="4"/>
  <c r="K1445" i="4"/>
  <c r="L1445" i="4"/>
  <c r="B1446" i="4"/>
  <c r="C1446" i="4"/>
  <c r="D1446" i="4"/>
  <c r="E1446" i="4"/>
  <c r="F1446" i="4"/>
  <c r="G1446" i="4"/>
  <c r="H1446" i="4"/>
  <c r="I1446" i="4"/>
  <c r="J1446" i="4"/>
  <c r="K1446" i="4"/>
  <c r="L1446" i="4"/>
  <c r="B1447" i="4"/>
  <c r="C1447" i="4"/>
  <c r="D1447" i="4"/>
  <c r="E1447" i="4"/>
  <c r="F1447" i="4"/>
  <c r="G1447" i="4"/>
  <c r="H1447" i="4"/>
  <c r="I1447" i="4"/>
  <c r="J1447" i="4"/>
  <c r="K1447" i="4"/>
  <c r="L1447" i="4"/>
  <c r="B1448" i="4"/>
  <c r="C1448" i="4"/>
  <c r="D1448" i="4"/>
  <c r="E1448" i="4"/>
  <c r="F1448" i="4"/>
  <c r="G1448" i="4"/>
  <c r="H1448" i="4"/>
  <c r="I1448" i="4"/>
  <c r="J1448" i="4"/>
  <c r="K1448" i="4"/>
  <c r="L1448" i="4"/>
  <c r="B1449" i="4"/>
  <c r="C1449" i="4"/>
  <c r="D1449" i="4"/>
  <c r="E1449" i="4"/>
  <c r="F1449" i="4"/>
  <c r="G1449" i="4"/>
  <c r="H1449" i="4"/>
  <c r="I1449" i="4"/>
  <c r="J1449" i="4"/>
  <c r="K1449" i="4"/>
  <c r="L1449" i="4"/>
  <c r="B1450" i="4"/>
  <c r="C1450" i="4"/>
  <c r="D1450" i="4"/>
  <c r="E1450" i="4"/>
  <c r="F1450" i="4"/>
  <c r="G1450" i="4"/>
  <c r="H1450" i="4"/>
  <c r="I1450" i="4"/>
  <c r="J1450" i="4"/>
  <c r="K1450" i="4"/>
  <c r="L1450" i="4"/>
  <c r="B1451" i="4"/>
  <c r="C1451" i="4"/>
  <c r="D1451" i="4"/>
  <c r="E1451" i="4"/>
  <c r="F1451" i="4"/>
  <c r="G1451" i="4"/>
  <c r="H1451" i="4"/>
  <c r="I1451" i="4"/>
  <c r="J1451" i="4"/>
  <c r="K1451" i="4"/>
  <c r="L1451" i="4"/>
  <c r="B1452" i="4"/>
  <c r="C1452" i="4"/>
  <c r="D1452" i="4"/>
  <c r="E1452" i="4"/>
  <c r="F1452" i="4"/>
  <c r="G1452" i="4"/>
  <c r="H1452" i="4"/>
  <c r="I1452" i="4"/>
  <c r="J1452" i="4"/>
  <c r="K1452" i="4"/>
  <c r="L1452" i="4"/>
  <c r="B1453" i="4"/>
  <c r="C1453" i="4"/>
  <c r="D1453" i="4"/>
  <c r="E1453" i="4"/>
  <c r="F1453" i="4"/>
  <c r="G1453" i="4"/>
  <c r="H1453" i="4"/>
  <c r="I1453" i="4"/>
  <c r="J1453" i="4"/>
  <c r="K1453" i="4"/>
  <c r="L1453" i="4"/>
  <c r="B1454" i="4"/>
  <c r="C1454" i="4"/>
  <c r="D1454" i="4"/>
  <c r="E1454" i="4"/>
  <c r="F1454" i="4"/>
  <c r="G1454" i="4"/>
  <c r="H1454" i="4"/>
  <c r="I1454" i="4"/>
  <c r="J1454" i="4"/>
  <c r="K1454" i="4"/>
  <c r="L1454" i="4"/>
  <c r="B1455" i="4"/>
  <c r="C1455" i="4"/>
  <c r="D1455" i="4"/>
  <c r="E1455" i="4"/>
  <c r="F1455" i="4"/>
  <c r="G1455" i="4"/>
  <c r="H1455" i="4"/>
  <c r="I1455" i="4"/>
  <c r="J1455" i="4"/>
  <c r="K1455" i="4"/>
  <c r="L1455" i="4"/>
  <c r="B1456" i="4"/>
  <c r="C1456" i="4"/>
  <c r="D1456" i="4"/>
  <c r="E1456" i="4"/>
  <c r="F1456" i="4"/>
  <c r="G1456" i="4"/>
  <c r="H1456" i="4"/>
  <c r="I1456" i="4"/>
  <c r="J1456" i="4"/>
  <c r="K1456" i="4"/>
  <c r="L1456" i="4"/>
  <c r="B1457" i="4"/>
  <c r="C1457" i="4"/>
  <c r="D1457" i="4"/>
  <c r="E1457" i="4"/>
  <c r="F1457" i="4"/>
  <c r="G1457" i="4"/>
  <c r="H1457" i="4"/>
  <c r="I1457" i="4"/>
  <c r="J1457" i="4"/>
  <c r="K1457" i="4"/>
  <c r="L1457" i="4"/>
  <c r="B1458" i="4"/>
  <c r="C1458" i="4"/>
  <c r="D1458" i="4"/>
  <c r="E1458" i="4"/>
  <c r="F1458" i="4"/>
  <c r="G1458" i="4"/>
  <c r="H1458" i="4"/>
  <c r="I1458" i="4"/>
  <c r="J1458" i="4"/>
  <c r="K1458" i="4"/>
  <c r="L1458" i="4"/>
  <c r="B1459" i="4"/>
  <c r="C1459" i="4"/>
  <c r="D1459" i="4"/>
  <c r="E1459" i="4"/>
  <c r="F1459" i="4"/>
  <c r="G1459" i="4"/>
  <c r="H1459" i="4"/>
  <c r="I1459" i="4"/>
  <c r="J1459" i="4"/>
  <c r="K1459" i="4"/>
  <c r="L1459" i="4"/>
  <c r="B1460" i="4"/>
  <c r="C1460" i="4"/>
  <c r="D1460" i="4"/>
  <c r="E1460" i="4"/>
  <c r="F1460" i="4"/>
  <c r="G1460" i="4"/>
  <c r="H1460" i="4"/>
  <c r="I1460" i="4"/>
  <c r="J1460" i="4"/>
  <c r="K1460" i="4"/>
  <c r="L1460" i="4"/>
  <c r="B1461" i="4"/>
  <c r="C1461" i="4"/>
  <c r="D1461" i="4"/>
  <c r="E1461" i="4"/>
  <c r="F1461" i="4"/>
  <c r="G1461" i="4"/>
  <c r="H1461" i="4"/>
  <c r="I1461" i="4"/>
  <c r="J1461" i="4"/>
  <c r="K1461" i="4"/>
  <c r="L1461" i="4"/>
  <c r="B1462" i="4"/>
  <c r="C1462" i="4"/>
  <c r="D1462" i="4"/>
  <c r="E1462" i="4"/>
  <c r="F1462" i="4"/>
  <c r="G1462" i="4"/>
  <c r="H1462" i="4"/>
  <c r="I1462" i="4"/>
  <c r="J1462" i="4"/>
  <c r="K1462" i="4"/>
  <c r="L1462" i="4"/>
  <c r="B1463" i="4"/>
  <c r="C1463" i="4"/>
  <c r="D1463" i="4"/>
  <c r="E1463" i="4"/>
  <c r="F1463" i="4"/>
  <c r="G1463" i="4"/>
  <c r="H1463" i="4"/>
  <c r="I1463" i="4"/>
  <c r="J1463" i="4"/>
  <c r="K1463" i="4"/>
  <c r="L1463" i="4"/>
  <c r="B1464" i="4"/>
  <c r="C1464" i="4"/>
  <c r="D1464" i="4"/>
  <c r="E1464" i="4"/>
  <c r="F1464" i="4"/>
  <c r="G1464" i="4"/>
  <c r="H1464" i="4"/>
  <c r="I1464" i="4"/>
  <c r="J1464" i="4"/>
  <c r="K1464" i="4"/>
  <c r="L1464" i="4"/>
  <c r="B1465" i="4"/>
  <c r="C1465" i="4"/>
  <c r="D1465" i="4"/>
  <c r="E1465" i="4"/>
  <c r="F1465" i="4"/>
  <c r="G1465" i="4"/>
  <c r="H1465" i="4"/>
  <c r="I1465" i="4"/>
  <c r="J1465" i="4"/>
  <c r="K1465" i="4"/>
  <c r="L1465" i="4"/>
  <c r="B1466" i="4"/>
  <c r="C1466" i="4"/>
  <c r="D1466" i="4"/>
  <c r="E1466" i="4"/>
  <c r="F1466" i="4"/>
  <c r="G1466" i="4"/>
  <c r="H1466" i="4"/>
  <c r="I1466" i="4"/>
  <c r="J1466" i="4"/>
  <c r="K1466" i="4"/>
  <c r="L1466" i="4"/>
  <c r="B1467" i="4"/>
  <c r="C1467" i="4"/>
  <c r="D1467" i="4"/>
  <c r="E1467" i="4"/>
  <c r="F1467" i="4"/>
  <c r="G1467" i="4"/>
  <c r="H1467" i="4"/>
  <c r="I1467" i="4"/>
  <c r="J1467" i="4"/>
  <c r="K1467" i="4"/>
  <c r="L1467" i="4"/>
  <c r="B1468" i="4"/>
  <c r="C1468" i="4"/>
  <c r="D1468" i="4"/>
  <c r="E1468" i="4"/>
  <c r="F1468" i="4"/>
  <c r="G1468" i="4"/>
  <c r="H1468" i="4"/>
  <c r="I1468" i="4"/>
  <c r="J1468" i="4"/>
  <c r="K1468" i="4"/>
  <c r="L1468" i="4"/>
  <c r="B1469" i="4"/>
  <c r="C1469" i="4"/>
  <c r="D1469" i="4"/>
  <c r="E1469" i="4"/>
  <c r="F1469" i="4"/>
  <c r="G1469" i="4"/>
  <c r="H1469" i="4"/>
  <c r="I1469" i="4"/>
  <c r="J1469" i="4"/>
  <c r="K1469" i="4"/>
  <c r="L1469" i="4"/>
  <c r="B1470" i="4"/>
  <c r="C1470" i="4"/>
  <c r="D1470" i="4"/>
  <c r="E1470" i="4"/>
  <c r="F1470" i="4"/>
  <c r="G1470" i="4"/>
  <c r="H1470" i="4"/>
  <c r="I1470" i="4"/>
  <c r="J1470" i="4"/>
  <c r="K1470" i="4"/>
  <c r="L1470" i="4"/>
  <c r="B1471" i="4"/>
  <c r="C1471" i="4"/>
  <c r="D1471" i="4"/>
  <c r="E1471" i="4"/>
  <c r="F1471" i="4"/>
  <c r="G1471" i="4"/>
  <c r="H1471" i="4"/>
  <c r="I1471" i="4"/>
  <c r="J1471" i="4"/>
  <c r="K1471" i="4"/>
  <c r="L1471" i="4"/>
  <c r="B1472" i="4"/>
  <c r="C1472" i="4"/>
  <c r="D1472" i="4"/>
  <c r="E1472" i="4"/>
  <c r="F1472" i="4"/>
  <c r="G1472" i="4"/>
  <c r="H1472" i="4"/>
  <c r="I1472" i="4"/>
  <c r="J1472" i="4"/>
  <c r="K1472" i="4"/>
  <c r="L1472" i="4"/>
  <c r="B1473" i="4"/>
  <c r="C1473" i="4"/>
  <c r="D1473" i="4"/>
  <c r="E1473" i="4"/>
  <c r="F1473" i="4"/>
  <c r="G1473" i="4"/>
  <c r="H1473" i="4"/>
  <c r="I1473" i="4"/>
  <c r="J1473" i="4"/>
  <c r="K1473" i="4"/>
  <c r="L1473" i="4"/>
  <c r="B1474" i="4"/>
  <c r="C1474" i="4"/>
  <c r="D1474" i="4"/>
  <c r="E1474" i="4"/>
  <c r="F1474" i="4"/>
  <c r="G1474" i="4"/>
  <c r="H1474" i="4"/>
  <c r="I1474" i="4"/>
  <c r="J1474" i="4"/>
  <c r="K1474" i="4"/>
  <c r="L1474" i="4"/>
  <c r="B1475" i="4"/>
  <c r="C1475" i="4"/>
  <c r="D1475" i="4"/>
  <c r="E1475" i="4"/>
  <c r="F1475" i="4"/>
  <c r="G1475" i="4"/>
  <c r="H1475" i="4"/>
  <c r="I1475" i="4"/>
  <c r="J1475" i="4"/>
  <c r="K1475" i="4"/>
  <c r="L1475" i="4"/>
  <c r="B1476" i="4"/>
  <c r="C1476" i="4"/>
  <c r="D1476" i="4"/>
  <c r="E1476" i="4"/>
  <c r="F1476" i="4"/>
  <c r="G1476" i="4"/>
  <c r="H1476" i="4"/>
  <c r="I1476" i="4"/>
  <c r="J1476" i="4"/>
  <c r="K1476" i="4"/>
  <c r="L1476" i="4"/>
  <c r="B1477" i="4"/>
  <c r="C1477" i="4"/>
  <c r="D1477" i="4"/>
  <c r="E1477" i="4"/>
  <c r="F1477" i="4"/>
  <c r="G1477" i="4"/>
  <c r="H1477" i="4"/>
  <c r="I1477" i="4"/>
  <c r="J1477" i="4"/>
  <c r="K1477" i="4"/>
  <c r="L1477" i="4"/>
  <c r="B1478" i="4"/>
  <c r="C1478" i="4"/>
  <c r="D1478" i="4"/>
  <c r="E1478" i="4"/>
  <c r="F1478" i="4"/>
  <c r="G1478" i="4"/>
  <c r="H1478" i="4"/>
  <c r="I1478" i="4"/>
  <c r="J1478" i="4"/>
  <c r="K1478" i="4"/>
  <c r="L1478" i="4"/>
  <c r="B1479" i="4"/>
  <c r="C1479" i="4"/>
  <c r="D1479" i="4"/>
  <c r="E1479" i="4"/>
  <c r="F1479" i="4"/>
  <c r="G1479" i="4"/>
  <c r="H1479" i="4"/>
  <c r="I1479" i="4"/>
  <c r="J1479" i="4"/>
  <c r="K1479" i="4"/>
  <c r="L1479" i="4"/>
  <c r="B1480" i="4"/>
  <c r="C1480" i="4"/>
  <c r="D1480" i="4"/>
  <c r="E1480" i="4"/>
  <c r="F1480" i="4"/>
  <c r="G1480" i="4"/>
  <c r="H1480" i="4"/>
  <c r="I1480" i="4"/>
  <c r="J1480" i="4"/>
  <c r="K1480" i="4"/>
  <c r="L1480" i="4"/>
  <c r="B1481" i="4"/>
  <c r="C1481" i="4"/>
  <c r="D1481" i="4"/>
  <c r="E1481" i="4"/>
  <c r="F1481" i="4"/>
  <c r="G1481" i="4"/>
  <c r="H1481" i="4"/>
  <c r="I1481" i="4"/>
  <c r="J1481" i="4"/>
  <c r="K1481" i="4"/>
  <c r="L1481" i="4"/>
  <c r="B1482" i="4"/>
  <c r="C1482" i="4"/>
  <c r="D1482" i="4"/>
  <c r="E1482" i="4"/>
  <c r="F1482" i="4"/>
  <c r="G1482" i="4"/>
  <c r="H1482" i="4"/>
  <c r="I1482" i="4"/>
  <c r="J1482" i="4"/>
  <c r="K1482" i="4"/>
  <c r="L1482" i="4"/>
  <c r="B1483" i="4"/>
  <c r="C1483" i="4"/>
  <c r="D1483" i="4"/>
  <c r="E1483" i="4"/>
  <c r="F1483" i="4"/>
  <c r="G1483" i="4"/>
  <c r="H1483" i="4"/>
  <c r="I1483" i="4"/>
  <c r="J1483" i="4"/>
  <c r="K1483" i="4"/>
  <c r="L1483" i="4"/>
  <c r="B1484" i="4"/>
  <c r="C1484" i="4"/>
  <c r="D1484" i="4"/>
  <c r="E1484" i="4"/>
  <c r="F1484" i="4"/>
  <c r="G1484" i="4"/>
  <c r="H1484" i="4"/>
  <c r="I1484" i="4"/>
  <c r="J1484" i="4"/>
  <c r="K1484" i="4"/>
  <c r="L1484" i="4"/>
  <c r="B1485" i="4"/>
  <c r="C1485" i="4"/>
  <c r="D1485" i="4"/>
  <c r="E1485" i="4"/>
  <c r="F1485" i="4"/>
  <c r="G1485" i="4"/>
  <c r="H1485" i="4"/>
  <c r="I1485" i="4"/>
  <c r="J1485" i="4"/>
  <c r="K1485" i="4"/>
  <c r="L1485" i="4"/>
  <c r="B1486" i="4"/>
  <c r="C1486" i="4"/>
  <c r="D1486" i="4"/>
  <c r="E1486" i="4"/>
  <c r="F1486" i="4"/>
  <c r="G1486" i="4"/>
  <c r="H1486" i="4"/>
  <c r="I1486" i="4"/>
  <c r="J1486" i="4"/>
  <c r="K1486" i="4"/>
  <c r="L1486" i="4"/>
  <c r="B1487" i="4"/>
  <c r="C1487" i="4"/>
  <c r="D1487" i="4"/>
  <c r="E1487" i="4"/>
  <c r="F1487" i="4"/>
  <c r="G1487" i="4"/>
  <c r="H1487" i="4"/>
  <c r="I1487" i="4"/>
  <c r="J1487" i="4"/>
  <c r="K1487" i="4"/>
  <c r="L1487" i="4"/>
  <c r="B1488" i="4"/>
  <c r="C1488" i="4"/>
  <c r="D1488" i="4"/>
  <c r="E1488" i="4"/>
  <c r="F1488" i="4"/>
  <c r="G1488" i="4"/>
  <c r="H1488" i="4"/>
  <c r="I1488" i="4"/>
  <c r="J1488" i="4"/>
  <c r="K1488" i="4"/>
  <c r="L1488" i="4"/>
  <c r="B1489" i="4"/>
  <c r="C1489" i="4"/>
  <c r="D1489" i="4"/>
  <c r="E1489" i="4"/>
  <c r="F1489" i="4"/>
  <c r="G1489" i="4"/>
  <c r="H1489" i="4"/>
  <c r="I1489" i="4"/>
  <c r="J1489" i="4"/>
  <c r="K1489" i="4"/>
  <c r="L1489" i="4"/>
  <c r="B1490" i="4"/>
  <c r="C1490" i="4"/>
  <c r="D1490" i="4"/>
  <c r="E1490" i="4"/>
  <c r="F1490" i="4"/>
  <c r="G1490" i="4"/>
  <c r="H1490" i="4"/>
  <c r="I1490" i="4"/>
  <c r="J1490" i="4"/>
  <c r="K1490" i="4"/>
  <c r="L1490" i="4"/>
  <c r="B1491" i="4"/>
  <c r="C1491" i="4"/>
  <c r="D1491" i="4"/>
  <c r="E1491" i="4"/>
  <c r="F1491" i="4"/>
  <c r="G1491" i="4"/>
  <c r="H1491" i="4"/>
  <c r="I1491" i="4"/>
  <c r="J1491" i="4"/>
  <c r="K1491" i="4"/>
  <c r="L1491" i="4"/>
  <c r="B1492" i="4"/>
  <c r="C1492" i="4"/>
  <c r="D1492" i="4"/>
  <c r="E1492" i="4"/>
  <c r="F1492" i="4"/>
  <c r="G1492" i="4"/>
  <c r="H1492" i="4"/>
  <c r="I1492" i="4"/>
  <c r="J1492" i="4"/>
  <c r="K1492" i="4"/>
  <c r="L1492" i="4"/>
  <c r="B1493" i="4"/>
  <c r="C1493" i="4"/>
  <c r="D1493" i="4"/>
  <c r="E1493" i="4"/>
  <c r="F1493" i="4"/>
  <c r="G1493" i="4"/>
  <c r="H1493" i="4"/>
  <c r="I1493" i="4"/>
  <c r="J1493" i="4"/>
  <c r="K1493" i="4"/>
  <c r="L1493" i="4"/>
  <c r="B1494" i="4"/>
  <c r="C1494" i="4"/>
  <c r="D1494" i="4"/>
  <c r="E1494" i="4"/>
  <c r="F1494" i="4"/>
  <c r="G1494" i="4"/>
  <c r="H1494" i="4"/>
  <c r="I1494" i="4"/>
  <c r="J1494" i="4"/>
  <c r="K1494" i="4"/>
  <c r="L1494" i="4"/>
  <c r="B1495" i="4"/>
  <c r="C1495" i="4"/>
  <c r="D1495" i="4"/>
  <c r="E1495" i="4"/>
  <c r="F1495" i="4"/>
  <c r="G1495" i="4"/>
  <c r="H1495" i="4"/>
  <c r="I1495" i="4"/>
  <c r="J1495" i="4"/>
  <c r="K1495" i="4"/>
  <c r="L1495" i="4"/>
  <c r="B1496" i="4"/>
  <c r="C1496" i="4"/>
  <c r="D1496" i="4"/>
  <c r="E1496" i="4"/>
  <c r="F1496" i="4"/>
  <c r="G1496" i="4"/>
  <c r="H1496" i="4"/>
  <c r="I1496" i="4"/>
  <c r="J1496" i="4"/>
  <c r="K1496" i="4"/>
  <c r="L1496" i="4"/>
  <c r="B1497" i="4"/>
  <c r="C1497" i="4"/>
  <c r="D1497" i="4"/>
  <c r="E1497" i="4"/>
  <c r="F1497" i="4"/>
  <c r="G1497" i="4"/>
  <c r="H1497" i="4"/>
  <c r="I1497" i="4"/>
  <c r="J1497" i="4"/>
  <c r="K1497" i="4"/>
  <c r="L1497" i="4"/>
  <c r="B1498" i="4"/>
  <c r="C1498" i="4"/>
  <c r="D1498" i="4"/>
  <c r="E1498" i="4"/>
  <c r="F1498" i="4"/>
  <c r="G1498" i="4"/>
  <c r="H1498" i="4"/>
  <c r="I1498" i="4"/>
  <c r="J1498" i="4"/>
  <c r="K1498" i="4"/>
  <c r="L1498" i="4"/>
  <c r="B1499" i="4"/>
  <c r="C1499" i="4"/>
  <c r="D1499" i="4"/>
  <c r="E1499" i="4"/>
  <c r="F1499" i="4"/>
  <c r="G1499" i="4"/>
  <c r="H1499" i="4"/>
  <c r="I1499" i="4"/>
  <c r="J1499" i="4"/>
  <c r="K1499" i="4"/>
  <c r="L1499" i="4"/>
  <c r="B1500" i="4"/>
  <c r="C1500" i="4"/>
  <c r="D1500" i="4"/>
  <c r="E1500" i="4"/>
  <c r="F1500" i="4"/>
  <c r="G1500" i="4"/>
  <c r="H1500" i="4"/>
  <c r="I1500" i="4"/>
  <c r="J1500" i="4"/>
  <c r="K1500" i="4"/>
  <c r="L1500" i="4"/>
  <c r="B1501" i="4"/>
  <c r="C1501" i="4"/>
  <c r="D1501" i="4"/>
  <c r="E1501" i="4"/>
  <c r="F1501" i="4"/>
  <c r="G1501" i="4"/>
  <c r="H1501" i="4"/>
  <c r="I1501" i="4"/>
  <c r="J1501" i="4"/>
  <c r="K1501" i="4"/>
  <c r="L1501" i="4"/>
  <c r="B1502" i="4"/>
  <c r="C1502" i="4"/>
  <c r="D1502" i="4"/>
  <c r="E1502" i="4"/>
  <c r="F1502" i="4"/>
  <c r="G1502" i="4"/>
  <c r="H1502" i="4"/>
  <c r="I1502" i="4"/>
  <c r="J1502" i="4"/>
  <c r="K1502" i="4"/>
  <c r="L1502" i="4"/>
  <c r="B1503" i="4"/>
  <c r="C1503" i="4"/>
  <c r="D1503" i="4"/>
  <c r="E1503" i="4"/>
  <c r="F1503" i="4"/>
  <c r="G1503" i="4"/>
  <c r="H1503" i="4"/>
  <c r="I1503" i="4"/>
  <c r="J1503" i="4"/>
  <c r="K1503" i="4"/>
  <c r="L1503" i="4"/>
  <c r="B1504" i="4"/>
  <c r="C1504" i="4"/>
  <c r="D1504" i="4"/>
  <c r="E1504" i="4"/>
  <c r="F1504" i="4"/>
  <c r="G1504" i="4"/>
  <c r="H1504" i="4"/>
  <c r="I1504" i="4"/>
  <c r="J1504" i="4"/>
  <c r="K1504" i="4"/>
  <c r="L1504" i="4"/>
  <c r="B1505" i="4"/>
  <c r="C1505" i="4"/>
  <c r="D1505" i="4"/>
  <c r="E1505" i="4"/>
  <c r="F1505" i="4"/>
  <c r="G1505" i="4"/>
  <c r="H1505" i="4"/>
  <c r="I1505" i="4"/>
  <c r="J1505" i="4"/>
  <c r="K1505" i="4"/>
  <c r="L1505" i="4"/>
  <c r="B1506" i="4"/>
  <c r="C1506" i="4"/>
  <c r="D1506" i="4"/>
  <c r="E1506" i="4"/>
  <c r="F1506" i="4"/>
  <c r="G1506" i="4"/>
  <c r="H1506" i="4"/>
  <c r="I1506" i="4"/>
  <c r="J1506" i="4"/>
  <c r="K1506" i="4"/>
  <c r="L1506" i="4"/>
  <c r="B1507" i="4"/>
  <c r="C1507" i="4"/>
  <c r="D1507" i="4"/>
  <c r="E1507" i="4"/>
  <c r="F1507" i="4"/>
  <c r="G1507" i="4"/>
  <c r="H1507" i="4"/>
  <c r="I1507" i="4"/>
  <c r="J1507" i="4"/>
  <c r="K1507" i="4"/>
  <c r="L1507" i="4"/>
  <c r="B1508" i="4"/>
  <c r="C1508" i="4"/>
  <c r="D1508" i="4"/>
  <c r="E1508" i="4"/>
  <c r="F1508" i="4"/>
  <c r="G1508" i="4"/>
  <c r="H1508" i="4"/>
  <c r="I1508" i="4"/>
  <c r="J1508" i="4"/>
  <c r="K1508" i="4"/>
  <c r="L1508" i="4"/>
  <c r="B1509" i="4"/>
  <c r="C1509" i="4"/>
  <c r="D1509" i="4"/>
  <c r="E1509" i="4"/>
  <c r="F1509" i="4"/>
  <c r="G1509" i="4"/>
  <c r="H1509" i="4"/>
  <c r="I1509" i="4"/>
  <c r="J1509" i="4"/>
  <c r="K1509" i="4"/>
  <c r="L1509" i="4"/>
  <c r="B1510" i="4"/>
  <c r="C1510" i="4"/>
  <c r="D1510" i="4"/>
  <c r="E1510" i="4"/>
  <c r="F1510" i="4"/>
  <c r="G1510" i="4"/>
  <c r="H1510" i="4"/>
  <c r="I1510" i="4"/>
  <c r="J1510" i="4"/>
  <c r="K1510" i="4"/>
  <c r="L1510" i="4"/>
  <c r="B1511" i="4"/>
  <c r="C1511" i="4"/>
  <c r="D1511" i="4"/>
  <c r="E1511" i="4"/>
  <c r="F1511" i="4"/>
  <c r="G1511" i="4"/>
  <c r="H1511" i="4"/>
  <c r="I1511" i="4"/>
  <c r="J1511" i="4"/>
  <c r="K1511" i="4"/>
  <c r="L1511" i="4"/>
  <c r="B1512" i="4"/>
  <c r="C1512" i="4"/>
  <c r="D1512" i="4"/>
  <c r="E1512" i="4"/>
  <c r="F1512" i="4"/>
  <c r="G1512" i="4"/>
  <c r="H1512" i="4"/>
  <c r="I1512" i="4"/>
  <c r="J1512" i="4"/>
  <c r="K1512" i="4"/>
  <c r="L1512" i="4"/>
  <c r="B1513" i="4"/>
  <c r="C1513" i="4"/>
  <c r="D1513" i="4"/>
  <c r="E1513" i="4"/>
  <c r="F1513" i="4"/>
  <c r="G1513" i="4"/>
  <c r="H1513" i="4"/>
  <c r="I1513" i="4"/>
  <c r="J1513" i="4"/>
  <c r="K1513" i="4"/>
  <c r="L1513" i="4"/>
  <c r="B1514" i="4"/>
  <c r="C1514" i="4"/>
  <c r="D1514" i="4"/>
  <c r="E1514" i="4"/>
  <c r="F1514" i="4"/>
  <c r="G1514" i="4"/>
  <c r="H1514" i="4"/>
  <c r="I1514" i="4"/>
  <c r="J1514" i="4"/>
  <c r="K1514" i="4"/>
  <c r="L1514" i="4"/>
  <c r="B1515" i="4"/>
  <c r="C1515" i="4"/>
  <c r="D1515" i="4"/>
  <c r="E1515" i="4"/>
  <c r="F1515" i="4"/>
  <c r="G1515" i="4"/>
  <c r="H1515" i="4"/>
  <c r="I1515" i="4"/>
  <c r="J1515" i="4"/>
  <c r="K1515" i="4"/>
  <c r="L1515" i="4"/>
  <c r="B1516" i="4"/>
  <c r="C1516" i="4"/>
  <c r="D1516" i="4"/>
  <c r="E1516" i="4"/>
  <c r="F1516" i="4"/>
  <c r="G1516" i="4"/>
  <c r="H1516" i="4"/>
  <c r="I1516" i="4"/>
  <c r="J1516" i="4"/>
  <c r="K1516" i="4"/>
  <c r="L1516" i="4"/>
  <c r="B1517" i="4"/>
  <c r="C1517" i="4"/>
  <c r="D1517" i="4"/>
  <c r="E1517" i="4"/>
  <c r="F1517" i="4"/>
  <c r="G1517" i="4"/>
  <c r="H1517" i="4"/>
  <c r="I1517" i="4"/>
  <c r="J1517" i="4"/>
  <c r="K1517" i="4"/>
  <c r="L1517" i="4"/>
  <c r="B1518" i="4"/>
  <c r="C1518" i="4"/>
  <c r="D1518" i="4"/>
  <c r="E1518" i="4"/>
  <c r="F1518" i="4"/>
  <c r="G1518" i="4"/>
  <c r="H1518" i="4"/>
  <c r="I1518" i="4"/>
  <c r="J1518" i="4"/>
  <c r="K1518" i="4"/>
  <c r="L1518" i="4"/>
  <c r="B1519" i="4"/>
  <c r="C1519" i="4"/>
  <c r="D1519" i="4"/>
  <c r="E1519" i="4"/>
  <c r="F1519" i="4"/>
  <c r="G1519" i="4"/>
  <c r="H1519" i="4"/>
  <c r="I1519" i="4"/>
  <c r="J1519" i="4"/>
  <c r="K1519" i="4"/>
  <c r="L1519" i="4"/>
  <c r="B1520" i="4"/>
  <c r="C1520" i="4"/>
  <c r="D1520" i="4"/>
  <c r="E1520" i="4"/>
  <c r="F1520" i="4"/>
  <c r="G1520" i="4"/>
  <c r="H1520" i="4"/>
  <c r="I1520" i="4"/>
  <c r="J1520" i="4"/>
  <c r="K1520" i="4"/>
  <c r="L1520" i="4"/>
  <c r="B1521" i="4"/>
  <c r="C1521" i="4"/>
  <c r="D1521" i="4"/>
  <c r="E1521" i="4"/>
  <c r="F1521" i="4"/>
  <c r="G1521" i="4"/>
  <c r="H1521" i="4"/>
  <c r="I1521" i="4"/>
  <c r="J1521" i="4"/>
  <c r="K1521" i="4"/>
  <c r="L1521" i="4"/>
  <c r="B1522" i="4"/>
  <c r="C1522" i="4"/>
  <c r="D1522" i="4"/>
  <c r="E1522" i="4"/>
  <c r="F1522" i="4"/>
  <c r="G1522" i="4"/>
  <c r="H1522" i="4"/>
  <c r="I1522" i="4"/>
  <c r="J1522" i="4"/>
  <c r="K1522" i="4"/>
  <c r="L1522" i="4"/>
  <c r="B1523" i="4"/>
  <c r="C1523" i="4"/>
  <c r="D1523" i="4"/>
  <c r="E1523" i="4"/>
  <c r="F1523" i="4"/>
  <c r="G1523" i="4"/>
  <c r="H1523" i="4"/>
  <c r="I1523" i="4"/>
  <c r="J1523" i="4"/>
  <c r="K1523" i="4"/>
  <c r="L1523" i="4"/>
  <c r="B1524" i="4"/>
  <c r="C1524" i="4"/>
  <c r="D1524" i="4"/>
  <c r="E1524" i="4"/>
  <c r="F1524" i="4"/>
  <c r="G1524" i="4"/>
  <c r="H1524" i="4"/>
  <c r="I1524" i="4"/>
  <c r="J1524" i="4"/>
  <c r="K1524" i="4"/>
  <c r="L1524" i="4"/>
  <c r="B1525" i="4"/>
  <c r="C1525" i="4"/>
  <c r="D1525" i="4"/>
  <c r="E1525" i="4"/>
  <c r="F1525" i="4"/>
  <c r="G1525" i="4"/>
  <c r="H1525" i="4"/>
  <c r="I1525" i="4"/>
  <c r="J1525" i="4"/>
  <c r="K1525" i="4"/>
  <c r="L1525" i="4"/>
  <c r="B1526" i="4"/>
  <c r="C1526" i="4"/>
  <c r="D1526" i="4"/>
  <c r="E1526" i="4"/>
  <c r="F1526" i="4"/>
  <c r="G1526" i="4"/>
  <c r="H1526" i="4"/>
  <c r="I1526" i="4"/>
  <c r="J1526" i="4"/>
  <c r="K1526" i="4"/>
  <c r="L1526" i="4"/>
  <c r="B1527" i="4"/>
  <c r="C1527" i="4"/>
  <c r="D1527" i="4"/>
  <c r="E1527" i="4"/>
  <c r="F1527" i="4"/>
  <c r="G1527" i="4"/>
  <c r="H1527" i="4"/>
  <c r="I1527" i="4"/>
  <c r="J1527" i="4"/>
  <c r="K1527" i="4"/>
  <c r="L1527" i="4"/>
  <c r="B1528" i="4"/>
  <c r="C1528" i="4"/>
  <c r="D1528" i="4"/>
  <c r="E1528" i="4"/>
  <c r="F1528" i="4"/>
  <c r="G1528" i="4"/>
  <c r="H1528" i="4"/>
  <c r="I1528" i="4"/>
  <c r="J1528" i="4"/>
  <c r="K1528" i="4"/>
  <c r="L1528" i="4"/>
  <c r="B1529" i="4"/>
  <c r="C1529" i="4"/>
  <c r="D1529" i="4"/>
  <c r="E1529" i="4"/>
  <c r="F1529" i="4"/>
  <c r="G1529" i="4"/>
  <c r="H1529" i="4"/>
  <c r="I1529" i="4"/>
  <c r="J1529" i="4"/>
  <c r="K1529" i="4"/>
  <c r="L1529" i="4"/>
  <c r="B1530" i="4"/>
  <c r="C1530" i="4"/>
  <c r="D1530" i="4"/>
  <c r="E1530" i="4"/>
  <c r="F1530" i="4"/>
  <c r="G1530" i="4"/>
  <c r="H1530" i="4"/>
  <c r="I1530" i="4"/>
  <c r="J1530" i="4"/>
  <c r="K1530" i="4"/>
  <c r="L1530" i="4"/>
  <c r="B1531" i="4"/>
  <c r="C1531" i="4"/>
  <c r="D1531" i="4"/>
  <c r="E1531" i="4"/>
  <c r="F1531" i="4"/>
  <c r="G1531" i="4"/>
  <c r="H1531" i="4"/>
  <c r="I1531" i="4"/>
  <c r="J1531" i="4"/>
  <c r="K1531" i="4"/>
  <c r="L1531" i="4"/>
  <c r="B1532" i="4"/>
  <c r="C1532" i="4"/>
  <c r="D1532" i="4"/>
  <c r="E1532" i="4"/>
  <c r="F1532" i="4"/>
  <c r="G1532" i="4"/>
  <c r="H1532" i="4"/>
  <c r="I1532" i="4"/>
  <c r="J1532" i="4"/>
  <c r="K1532" i="4"/>
  <c r="L1532" i="4"/>
  <c r="B1533" i="4"/>
  <c r="C1533" i="4"/>
  <c r="D1533" i="4"/>
  <c r="E1533" i="4"/>
  <c r="F1533" i="4"/>
  <c r="G1533" i="4"/>
  <c r="H1533" i="4"/>
  <c r="I1533" i="4"/>
  <c r="J1533" i="4"/>
  <c r="K1533" i="4"/>
  <c r="L1533" i="4"/>
  <c r="B1534" i="4"/>
  <c r="C1534" i="4"/>
  <c r="D1534" i="4"/>
  <c r="E1534" i="4"/>
  <c r="F1534" i="4"/>
  <c r="G1534" i="4"/>
  <c r="H1534" i="4"/>
  <c r="I1534" i="4"/>
  <c r="J1534" i="4"/>
  <c r="K1534" i="4"/>
  <c r="L1534" i="4"/>
  <c r="B1535" i="4"/>
  <c r="C1535" i="4"/>
  <c r="D1535" i="4"/>
  <c r="E1535" i="4"/>
  <c r="F1535" i="4"/>
  <c r="G1535" i="4"/>
  <c r="H1535" i="4"/>
  <c r="I1535" i="4"/>
  <c r="J1535" i="4"/>
  <c r="K1535" i="4"/>
  <c r="L1535" i="4"/>
  <c r="B1536" i="4"/>
  <c r="C1536" i="4"/>
  <c r="D1536" i="4"/>
  <c r="E1536" i="4"/>
  <c r="F1536" i="4"/>
  <c r="G1536" i="4"/>
  <c r="H1536" i="4"/>
  <c r="I1536" i="4"/>
  <c r="J1536" i="4"/>
  <c r="K1536" i="4"/>
  <c r="L1536" i="4"/>
  <c r="B1537" i="4"/>
  <c r="C1537" i="4"/>
  <c r="D1537" i="4"/>
  <c r="E1537" i="4"/>
  <c r="F1537" i="4"/>
  <c r="G1537" i="4"/>
  <c r="H1537" i="4"/>
  <c r="I1537" i="4"/>
  <c r="J1537" i="4"/>
  <c r="K1537" i="4"/>
  <c r="L1537" i="4"/>
  <c r="B1538" i="4"/>
  <c r="C1538" i="4"/>
  <c r="D1538" i="4"/>
  <c r="E1538" i="4"/>
  <c r="F1538" i="4"/>
  <c r="G1538" i="4"/>
  <c r="H1538" i="4"/>
  <c r="I1538" i="4"/>
  <c r="J1538" i="4"/>
  <c r="K1538" i="4"/>
  <c r="L1538" i="4"/>
  <c r="B1539" i="4"/>
  <c r="C1539" i="4"/>
  <c r="D1539" i="4"/>
  <c r="E1539" i="4"/>
  <c r="F1539" i="4"/>
  <c r="G1539" i="4"/>
  <c r="H1539" i="4"/>
  <c r="I1539" i="4"/>
  <c r="J1539" i="4"/>
  <c r="K1539" i="4"/>
  <c r="L1539" i="4"/>
  <c r="B1540" i="4"/>
  <c r="C1540" i="4"/>
  <c r="D1540" i="4"/>
  <c r="E1540" i="4"/>
  <c r="F1540" i="4"/>
  <c r="G1540" i="4"/>
  <c r="H1540" i="4"/>
  <c r="I1540" i="4"/>
  <c r="J1540" i="4"/>
  <c r="K1540" i="4"/>
  <c r="L1540" i="4"/>
  <c r="B1541" i="4"/>
  <c r="C1541" i="4"/>
  <c r="D1541" i="4"/>
  <c r="E1541" i="4"/>
  <c r="F1541" i="4"/>
  <c r="G1541" i="4"/>
  <c r="H1541" i="4"/>
  <c r="I1541" i="4"/>
  <c r="J1541" i="4"/>
  <c r="K1541" i="4"/>
  <c r="L1541" i="4"/>
  <c r="B1542" i="4"/>
  <c r="C1542" i="4"/>
  <c r="D1542" i="4"/>
  <c r="E1542" i="4"/>
  <c r="F1542" i="4"/>
  <c r="G1542" i="4"/>
  <c r="H1542" i="4"/>
  <c r="I1542" i="4"/>
  <c r="J1542" i="4"/>
  <c r="K1542" i="4"/>
  <c r="L1542" i="4"/>
  <c r="B1543" i="4"/>
  <c r="C1543" i="4"/>
  <c r="D1543" i="4"/>
  <c r="E1543" i="4"/>
  <c r="F1543" i="4"/>
  <c r="G1543" i="4"/>
  <c r="H1543" i="4"/>
  <c r="I1543" i="4"/>
  <c r="J1543" i="4"/>
  <c r="K1543" i="4"/>
  <c r="L1543" i="4"/>
  <c r="B1544" i="4"/>
  <c r="C1544" i="4"/>
  <c r="D1544" i="4"/>
  <c r="E1544" i="4"/>
  <c r="F1544" i="4"/>
  <c r="G1544" i="4"/>
  <c r="H1544" i="4"/>
  <c r="I1544" i="4"/>
  <c r="J1544" i="4"/>
  <c r="K1544" i="4"/>
  <c r="L1544" i="4"/>
  <c r="B1545" i="4"/>
  <c r="C1545" i="4"/>
  <c r="D1545" i="4"/>
  <c r="E1545" i="4"/>
  <c r="F1545" i="4"/>
  <c r="G1545" i="4"/>
  <c r="H1545" i="4"/>
  <c r="I1545" i="4"/>
  <c r="J1545" i="4"/>
  <c r="K1545" i="4"/>
  <c r="L1545" i="4"/>
  <c r="B1546" i="4"/>
  <c r="C1546" i="4"/>
  <c r="D1546" i="4"/>
  <c r="E1546" i="4"/>
  <c r="F1546" i="4"/>
  <c r="G1546" i="4"/>
  <c r="H1546" i="4"/>
  <c r="I1546" i="4"/>
  <c r="J1546" i="4"/>
  <c r="K1546" i="4"/>
  <c r="L1546" i="4"/>
  <c r="B1547" i="4"/>
  <c r="C1547" i="4"/>
  <c r="D1547" i="4"/>
  <c r="E1547" i="4"/>
  <c r="F1547" i="4"/>
  <c r="G1547" i="4"/>
  <c r="H1547" i="4"/>
  <c r="I1547" i="4"/>
  <c r="J1547" i="4"/>
  <c r="K1547" i="4"/>
  <c r="L1547" i="4"/>
  <c r="B1548" i="4"/>
  <c r="C1548" i="4"/>
  <c r="D1548" i="4"/>
  <c r="E1548" i="4"/>
  <c r="F1548" i="4"/>
  <c r="G1548" i="4"/>
  <c r="H1548" i="4"/>
  <c r="I1548" i="4"/>
  <c r="J1548" i="4"/>
  <c r="K1548" i="4"/>
  <c r="L1548" i="4"/>
  <c r="B1549" i="4"/>
  <c r="C1549" i="4"/>
  <c r="D1549" i="4"/>
  <c r="E1549" i="4"/>
  <c r="F1549" i="4"/>
  <c r="G1549" i="4"/>
  <c r="H1549" i="4"/>
  <c r="I1549" i="4"/>
  <c r="J1549" i="4"/>
  <c r="K1549" i="4"/>
  <c r="L1549" i="4"/>
  <c r="B1550" i="4"/>
  <c r="C1550" i="4"/>
  <c r="D1550" i="4"/>
  <c r="E1550" i="4"/>
  <c r="F1550" i="4"/>
  <c r="G1550" i="4"/>
  <c r="H1550" i="4"/>
  <c r="I1550" i="4"/>
  <c r="J1550" i="4"/>
  <c r="K1550" i="4"/>
  <c r="L1550" i="4"/>
  <c r="B1551" i="4"/>
  <c r="C1551" i="4"/>
  <c r="D1551" i="4"/>
  <c r="E1551" i="4"/>
  <c r="F1551" i="4"/>
  <c r="G1551" i="4"/>
  <c r="H1551" i="4"/>
  <c r="I1551" i="4"/>
  <c r="J1551" i="4"/>
  <c r="K1551" i="4"/>
  <c r="L1551" i="4"/>
  <c r="B1552" i="4"/>
  <c r="C1552" i="4"/>
  <c r="D1552" i="4"/>
  <c r="E1552" i="4"/>
  <c r="F1552" i="4"/>
  <c r="G1552" i="4"/>
  <c r="H1552" i="4"/>
  <c r="I1552" i="4"/>
  <c r="J1552" i="4"/>
  <c r="K1552" i="4"/>
  <c r="L1552" i="4"/>
  <c r="B1553" i="4"/>
  <c r="C1553" i="4"/>
  <c r="D1553" i="4"/>
  <c r="E1553" i="4"/>
  <c r="F1553" i="4"/>
  <c r="G1553" i="4"/>
  <c r="H1553" i="4"/>
  <c r="I1553" i="4"/>
  <c r="J1553" i="4"/>
  <c r="K1553" i="4"/>
  <c r="L1553" i="4"/>
  <c r="B1554" i="4"/>
  <c r="C1554" i="4"/>
  <c r="D1554" i="4"/>
  <c r="E1554" i="4"/>
  <c r="F1554" i="4"/>
  <c r="G1554" i="4"/>
  <c r="H1554" i="4"/>
  <c r="I1554" i="4"/>
  <c r="J1554" i="4"/>
  <c r="K1554" i="4"/>
  <c r="L1554" i="4"/>
  <c r="B1555" i="4"/>
  <c r="C1555" i="4"/>
  <c r="D1555" i="4"/>
  <c r="E1555" i="4"/>
  <c r="F1555" i="4"/>
  <c r="G1555" i="4"/>
  <c r="H1555" i="4"/>
  <c r="I1555" i="4"/>
  <c r="J1555" i="4"/>
  <c r="K1555" i="4"/>
  <c r="L1555" i="4"/>
  <c r="B1556" i="4"/>
  <c r="C1556" i="4"/>
  <c r="D1556" i="4"/>
  <c r="E1556" i="4"/>
  <c r="F1556" i="4"/>
  <c r="G1556" i="4"/>
  <c r="H1556" i="4"/>
  <c r="I1556" i="4"/>
  <c r="J1556" i="4"/>
  <c r="K1556" i="4"/>
  <c r="L1556" i="4"/>
  <c r="B1557" i="4"/>
  <c r="C1557" i="4"/>
  <c r="D1557" i="4"/>
  <c r="E1557" i="4"/>
  <c r="F1557" i="4"/>
  <c r="G1557" i="4"/>
  <c r="H1557" i="4"/>
  <c r="I1557" i="4"/>
  <c r="J1557" i="4"/>
  <c r="K1557" i="4"/>
  <c r="L1557" i="4"/>
  <c r="B1558" i="4"/>
  <c r="C1558" i="4"/>
  <c r="D1558" i="4"/>
  <c r="E1558" i="4"/>
  <c r="F1558" i="4"/>
  <c r="G1558" i="4"/>
  <c r="H1558" i="4"/>
  <c r="I1558" i="4"/>
  <c r="J1558" i="4"/>
  <c r="K1558" i="4"/>
  <c r="L1558" i="4"/>
  <c r="B1559" i="4"/>
  <c r="C1559" i="4"/>
  <c r="D1559" i="4"/>
  <c r="E1559" i="4"/>
  <c r="F1559" i="4"/>
  <c r="G1559" i="4"/>
  <c r="H1559" i="4"/>
  <c r="I1559" i="4"/>
  <c r="J1559" i="4"/>
  <c r="K1559" i="4"/>
  <c r="L1559" i="4"/>
  <c r="B1560" i="4"/>
  <c r="C1560" i="4"/>
  <c r="D1560" i="4"/>
  <c r="E1560" i="4"/>
  <c r="F1560" i="4"/>
  <c r="G1560" i="4"/>
  <c r="H1560" i="4"/>
  <c r="I1560" i="4"/>
  <c r="J1560" i="4"/>
  <c r="K1560" i="4"/>
  <c r="L1560" i="4"/>
  <c r="B1561" i="4"/>
  <c r="C1561" i="4"/>
  <c r="D1561" i="4"/>
  <c r="E1561" i="4"/>
  <c r="F1561" i="4"/>
  <c r="G1561" i="4"/>
  <c r="H1561" i="4"/>
  <c r="I1561" i="4"/>
  <c r="J1561" i="4"/>
  <c r="K1561" i="4"/>
  <c r="L1561" i="4"/>
  <c r="B1562" i="4"/>
  <c r="C1562" i="4"/>
  <c r="D1562" i="4"/>
  <c r="E1562" i="4"/>
  <c r="F1562" i="4"/>
  <c r="G1562" i="4"/>
  <c r="H1562" i="4"/>
  <c r="I1562" i="4"/>
  <c r="J1562" i="4"/>
  <c r="K1562" i="4"/>
  <c r="L1562" i="4"/>
  <c r="B1563" i="4"/>
  <c r="C1563" i="4"/>
  <c r="D1563" i="4"/>
  <c r="E1563" i="4"/>
  <c r="F1563" i="4"/>
  <c r="G1563" i="4"/>
  <c r="H1563" i="4"/>
  <c r="I1563" i="4"/>
  <c r="J1563" i="4"/>
  <c r="K1563" i="4"/>
  <c r="L1563" i="4"/>
  <c r="B1564" i="4"/>
  <c r="C1564" i="4"/>
  <c r="D1564" i="4"/>
  <c r="E1564" i="4"/>
  <c r="F1564" i="4"/>
  <c r="G1564" i="4"/>
  <c r="H1564" i="4"/>
  <c r="I1564" i="4"/>
  <c r="J1564" i="4"/>
  <c r="K1564" i="4"/>
  <c r="L1564" i="4"/>
  <c r="B1565" i="4"/>
  <c r="C1565" i="4"/>
  <c r="D1565" i="4"/>
  <c r="E1565" i="4"/>
  <c r="F1565" i="4"/>
  <c r="G1565" i="4"/>
  <c r="H1565" i="4"/>
  <c r="I1565" i="4"/>
  <c r="J1565" i="4"/>
  <c r="K1565" i="4"/>
  <c r="L1565" i="4"/>
  <c r="B1566" i="4"/>
  <c r="C1566" i="4"/>
  <c r="D1566" i="4"/>
  <c r="E1566" i="4"/>
  <c r="F1566" i="4"/>
  <c r="G1566" i="4"/>
  <c r="H1566" i="4"/>
  <c r="I1566" i="4"/>
  <c r="J1566" i="4"/>
  <c r="K1566" i="4"/>
  <c r="L1566" i="4"/>
  <c r="B1567" i="4"/>
  <c r="C1567" i="4"/>
  <c r="D1567" i="4"/>
  <c r="E1567" i="4"/>
  <c r="F1567" i="4"/>
  <c r="G1567" i="4"/>
  <c r="H1567" i="4"/>
  <c r="I1567" i="4"/>
  <c r="J1567" i="4"/>
  <c r="K1567" i="4"/>
  <c r="L1567" i="4"/>
  <c r="B1568" i="4"/>
  <c r="C1568" i="4"/>
  <c r="D1568" i="4"/>
  <c r="E1568" i="4"/>
  <c r="F1568" i="4"/>
  <c r="G1568" i="4"/>
  <c r="H1568" i="4"/>
  <c r="I1568" i="4"/>
  <c r="J1568" i="4"/>
  <c r="K1568" i="4"/>
  <c r="L1568" i="4"/>
  <c r="B1569" i="4"/>
  <c r="C1569" i="4"/>
  <c r="D1569" i="4"/>
  <c r="E1569" i="4"/>
  <c r="F1569" i="4"/>
  <c r="G1569" i="4"/>
  <c r="H1569" i="4"/>
  <c r="I1569" i="4"/>
  <c r="J1569" i="4"/>
  <c r="K1569" i="4"/>
  <c r="L1569" i="4"/>
  <c r="B1570" i="4"/>
  <c r="C1570" i="4"/>
  <c r="D1570" i="4"/>
  <c r="E1570" i="4"/>
  <c r="F1570" i="4"/>
  <c r="G1570" i="4"/>
  <c r="H1570" i="4"/>
  <c r="I1570" i="4"/>
  <c r="J1570" i="4"/>
  <c r="K1570" i="4"/>
  <c r="L1570" i="4"/>
  <c r="B1571" i="4"/>
  <c r="C1571" i="4"/>
  <c r="D1571" i="4"/>
  <c r="E1571" i="4"/>
  <c r="F1571" i="4"/>
  <c r="G1571" i="4"/>
  <c r="H1571" i="4"/>
  <c r="I1571" i="4"/>
  <c r="J1571" i="4"/>
  <c r="K1571" i="4"/>
  <c r="L1571" i="4"/>
  <c r="B1572" i="4"/>
  <c r="C1572" i="4"/>
  <c r="D1572" i="4"/>
  <c r="E1572" i="4"/>
  <c r="F1572" i="4"/>
  <c r="G1572" i="4"/>
  <c r="H1572" i="4"/>
  <c r="I1572" i="4"/>
  <c r="J1572" i="4"/>
  <c r="K1572" i="4"/>
  <c r="L1572" i="4"/>
  <c r="B1573" i="4"/>
  <c r="C1573" i="4"/>
  <c r="D1573" i="4"/>
  <c r="E1573" i="4"/>
  <c r="F1573" i="4"/>
  <c r="G1573" i="4"/>
  <c r="H1573" i="4"/>
  <c r="I1573" i="4"/>
  <c r="J1573" i="4"/>
  <c r="K1573" i="4"/>
  <c r="L1573" i="4"/>
  <c r="B1574" i="4"/>
  <c r="C1574" i="4"/>
  <c r="D1574" i="4"/>
  <c r="E1574" i="4"/>
  <c r="F1574" i="4"/>
  <c r="G1574" i="4"/>
  <c r="H1574" i="4"/>
  <c r="I1574" i="4"/>
  <c r="J1574" i="4"/>
  <c r="K1574" i="4"/>
  <c r="L1574" i="4"/>
  <c r="B1575" i="4"/>
  <c r="C1575" i="4"/>
  <c r="D1575" i="4"/>
  <c r="E1575" i="4"/>
  <c r="F1575" i="4"/>
  <c r="G1575" i="4"/>
  <c r="H1575" i="4"/>
  <c r="I1575" i="4"/>
  <c r="J1575" i="4"/>
  <c r="K1575" i="4"/>
  <c r="L1575" i="4"/>
  <c r="B1576" i="4"/>
  <c r="C1576" i="4"/>
  <c r="D1576" i="4"/>
  <c r="E1576" i="4"/>
  <c r="F1576" i="4"/>
  <c r="G1576" i="4"/>
  <c r="H1576" i="4"/>
  <c r="I1576" i="4"/>
  <c r="J1576" i="4"/>
  <c r="K1576" i="4"/>
  <c r="L1576" i="4"/>
  <c r="B1577" i="4"/>
  <c r="C1577" i="4"/>
  <c r="D1577" i="4"/>
  <c r="E1577" i="4"/>
  <c r="F1577" i="4"/>
  <c r="G1577" i="4"/>
  <c r="H1577" i="4"/>
  <c r="I1577" i="4"/>
  <c r="J1577" i="4"/>
  <c r="K1577" i="4"/>
  <c r="L1577" i="4"/>
  <c r="B1578" i="4"/>
  <c r="C1578" i="4"/>
  <c r="D1578" i="4"/>
  <c r="E1578" i="4"/>
  <c r="F1578" i="4"/>
  <c r="G1578" i="4"/>
  <c r="H1578" i="4"/>
  <c r="I1578" i="4"/>
  <c r="J1578" i="4"/>
  <c r="K1578" i="4"/>
  <c r="L1578" i="4"/>
  <c r="B1579" i="4"/>
  <c r="C1579" i="4"/>
  <c r="D1579" i="4"/>
  <c r="E1579" i="4"/>
  <c r="F1579" i="4"/>
  <c r="G1579" i="4"/>
  <c r="H1579" i="4"/>
  <c r="I1579" i="4"/>
  <c r="J1579" i="4"/>
  <c r="K1579" i="4"/>
  <c r="L1579" i="4"/>
  <c r="B1580" i="4"/>
  <c r="C1580" i="4"/>
  <c r="D1580" i="4"/>
  <c r="E1580" i="4"/>
  <c r="F1580" i="4"/>
  <c r="G1580" i="4"/>
  <c r="H1580" i="4"/>
  <c r="I1580" i="4"/>
  <c r="J1580" i="4"/>
  <c r="K1580" i="4"/>
  <c r="L1580" i="4"/>
  <c r="B1581" i="4"/>
  <c r="C1581" i="4"/>
  <c r="D1581" i="4"/>
  <c r="E1581" i="4"/>
  <c r="F1581" i="4"/>
  <c r="G1581" i="4"/>
  <c r="H1581" i="4"/>
  <c r="I1581" i="4"/>
  <c r="J1581" i="4"/>
  <c r="K1581" i="4"/>
  <c r="L1581" i="4"/>
  <c r="B1582" i="4"/>
  <c r="C1582" i="4"/>
  <c r="D1582" i="4"/>
  <c r="E1582" i="4"/>
  <c r="F1582" i="4"/>
  <c r="G1582" i="4"/>
  <c r="H1582" i="4"/>
  <c r="I1582" i="4"/>
  <c r="J1582" i="4"/>
  <c r="K1582" i="4"/>
  <c r="L1582" i="4"/>
  <c r="B1583" i="4"/>
  <c r="C1583" i="4"/>
  <c r="D1583" i="4"/>
  <c r="E1583" i="4"/>
  <c r="F1583" i="4"/>
  <c r="G1583" i="4"/>
  <c r="H1583" i="4"/>
  <c r="I1583" i="4"/>
  <c r="J1583" i="4"/>
  <c r="K1583" i="4"/>
  <c r="L1583" i="4"/>
  <c r="B1584" i="4"/>
  <c r="C1584" i="4"/>
  <c r="D1584" i="4"/>
  <c r="E1584" i="4"/>
  <c r="F1584" i="4"/>
  <c r="G1584" i="4"/>
  <c r="H1584" i="4"/>
  <c r="I1584" i="4"/>
  <c r="J1584" i="4"/>
  <c r="K1584" i="4"/>
  <c r="L1584" i="4"/>
  <c r="B1585" i="4"/>
  <c r="C1585" i="4"/>
  <c r="D1585" i="4"/>
  <c r="E1585" i="4"/>
  <c r="F1585" i="4"/>
  <c r="G1585" i="4"/>
  <c r="H1585" i="4"/>
  <c r="I1585" i="4"/>
  <c r="J1585" i="4"/>
  <c r="K1585" i="4"/>
  <c r="L1585" i="4"/>
  <c r="B1586" i="4"/>
  <c r="C1586" i="4"/>
  <c r="D1586" i="4"/>
  <c r="E1586" i="4"/>
  <c r="F1586" i="4"/>
  <c r="G1586" i="4"/>
  <c r="H1586" i="4"/>
  <c r="I1586" i="4"/>
  <c r="J1586" i="4"/>
  <c r="K1586" i="4"/>
  <c r="L1586" i="4"/>
  <c r="B1587" i="4"/>
  <c r="C1587" i="4"/>
  <c r="D1587" i="4"/>
  <c r="E1587" i="4"/>
  <c r="F1587" i="4"/>
  <c r="G1587" i="4"/>
  <c r="H1587" i="4"/>
  <c r="I1587" i="4"/>
  <c r="J1587" i="4"/>
  <c r="K1587" i="4"/>
  <c r="L1587" i="4"/>
  <c r="B1588" i="4"/>
  <c r="C1588" i="4"/>
  <c r="D1588" i="4"/>
  <c r="E1588" i="4"/>
  <c r="F1588" i="4"/>
  <c r="G1588" i="4"/>
  <c r="H1588" i="4"/>
  <c r="I1588" i="4"/>
  <c r="J1588" i="4"/>
  <c r="K1588" i="4"/>
  <c r="L1588" i="4"/>
  <c r="B1589" i="4"/>
  <c r="C1589" i="4"/>
  <c r="D1589" i="4"/>
  <c r="E1589" i="4"/>
  <c r="F1589" i="4"/>
  <c r="G1589" i="4"/>
  <c r="H1589" i="4"/>
  <c r="I1589" i="4"/>
  <c r="J1589" i="4"/>
  <c r="K1589" i="4"/>
  <c r="L1589" i="4"/>
  <c r="B1590" i="4"/>
  <c r="C1590" i="4"/>
  <c r="D1590" i="4"/>
  <c r="E1590" i="4"/>
  <c r="F1590" i="4"/>
  <c r="G1590" i="4"/>
  <c r="H1590" i="4"/>
  <c r="I1590" i="4"/>
  <c r="J1590" i="4"/>
  <c r="K1590" i="4"/>
  <c r="L1590" i="4"/>
  <c r="B1591" i="4"/>
  <c r="C1591" i="4"/>
  <c r="D1591" i="4"/>
  <c r="E1591" i="4"/>
  <c r="F1591" i="4"/>
  <c r="G1591" i="4"/>
  <c r="H1591" i="4"/>
  <c r="I1591" i="4"/>
  <c r="J1591" i="4"/>
  <c r="K1591" i="4"/>
  <c r="L1591" i="4"/>
  <c r="B1592" i="4"/>
  <c r="C1592" i="4"/>
  <c r="D1592" i="4"/>
  <c r="E1592" i="4"/>
  <c r="F1592" i="4"/>
  <c r="G1592" i="4"/>
  <c r="H1592" i="4"/>
  <c r="I1592" i="4"/>
  <c r="J1592" i="4"/>
  <c r="K1592" i="4"/>
  <c r="L1592" i="4"/>
  <c r="B1593" i="4"/>
  <c r="C1593" i="4"/>
  <c r="D1593" i="4"/>
  <c r="E1593" i="4"/>
  <c r="F1593" i="4"/>
  <c r="G1593" i="4"/>
  <c r="H1593" i="4"/>
  <c r="I1593" i="4"/>
  <c r="J1593" i="4"/>
  <c r="K1593" i="4"/>
  <c r="L1593" i="4"/>
  <c r="B1594" i="4"/>
  <c r="C1594" i="4"/>
  <c r="D1594" i="4"/>
  <c r="E1594" i="4"/>
  <c r="F1594" i="4"/>
  <c r="G1594" i="4"/>
  <c r="H1594" i="4"/>
  <c r="I1594" i="4"/>
  <c r="J1594" i="4"/>
  <c r="K1594" i="4"/>
  <c r="L1594" i="4"/>
  <c r="B1595" i="4"/>
  <c r="C1595" i="4"/>
  <c r="D1595" i="4"/>
  <c r="E1595" i="4"/>
  <c r="F1595" i="4"/>
  <c r="G1595" i="4"/>
  <c r="H1595" i="4"/>
  <c r="I1595" i="4"/>
  <c r="J1595" i="4"/>
  <c r="K1595" i="4"/>
  <c r="L1595" i="4"/>
  <c r="B1596" i="4"/>
  <c r="C1596" i="4"/>
  <c r="D1596" i="4"/>
  <c r="E1596" i="4"/>
  <c r="F1596" i="4"/>
  <c r="G1596" i="4"/>
  <c r="H1596" i="4"/>
  <c r="I1596" i="4"/>
  <c r="J1596" i="4"/>
  <c r="K1596" i="4"/>
  <c r="L1596" i="4"/>
  <c r="B1597" i="4"/>
  <c r="C1597" i="4"/>
  <c r="D1597" i="4"/>
  <c r="E1597" i="4"/>
  <c r="F1597" i="4"/>
  <c r="G1597" i="4"/>
  <c r="H1597" i="4"/>
  <c r="I1597" i="4"/>
  <c r="J1597" i="4"/>
  <c r="K1597" i="4"/>
  <c r="L1597" i="4"/>
  <c r="B1598" i="4"/>
  <c r="C1598" i="4"/>
  <c r="D1598" i="4"/>
  <c r="E1598" i="4"/>
  <c r="F1598" i="4"/>
  <c r="G1598" i="4"/>
  <c r="H1598" i="4"/>
  <c r="I1598" i="4"/>
  <c r="J1598" i="4"/>
  <c r="K1598" i="4"/>
  <c r="L1598" i="4"/>
  <c r="B1599" i="4"/>
  <c r="C1599" i="4"/>
  <c r="D1599" i="4"/>
  <c r="E1599" i="4"/>
  <c r="F1599" i="4"/>
  <c r="G1599" i="4"/>
  <c r="H1599" i="4"/>
  <c r="I1599" i="4"/>
  <c r="J1599" i="4"/>
  <c r="K1599" i="4"/>
  <c r="L1599" i="4"/>
  <c r="B1600" i="4"/>
  <c r="C1600" i="4"/>
  <c r="D1600" i="4"/>
  <c r="E1600" i="4"/>
  <c r="F1600" i="4"/>
  <c r="G1600" i="4"/>
  <c r="H1600" i="4"/>
  <c r="I1600" i="4"/>
  <c r="J1600" i="4"/>
  <c r="K1600" i="4"/>
  <c r="L1600" i="4"/>
  <c r="B1601" i="4"/>
  <c r="C1601" i="4"/>
  <c r="D1601" i="4"/>
  <c r="E1601" i="4"/>
  <c r="F1601" i="4"/>
  <c r="G1601" i="4"/>
  <c r="H1601" i="4"/>
  <c r="I1601" i="4"/>
  <c r="J1601" i="4"/>
  <c r="K1601" i="4"/>
  <c r="L1601" i="4"/>
  <c r="B1602" i="4"/>
  <c r="C1602" i="4"/>
  <c r="D1602" i="4"/>
  <c r="E1602" i="4"/>
  <c r="F1602" i="4"/>
  <c r="G1602" i="4"/>
  <c r="H1602" i="4"/>
  <c r="I1602" i="4"/>
  <c r="J1602" i="4"/>
  <c r="K1602" i="4"/>
  <c r="L1602" i="4"/>
  <c r="B1603" i="4"/>
  <c r="C1603" i="4"/>
  <c r="D1603" i="4"/>
  <c r="E1603" i="4"/>
  <c r="F1603" i="4"/>
  <c r="G1603" i="4"/>
  <c r="H1603" i="4"/>
  <c r="I1603" i="4"/>
  <c r="J1603" i="4"/>
  <c r="K1603" i="4"/>
  <c r="L1603" i="4"/>
  <c r="B1604" i="4"/>
  <c r="C1604" i="4"/>
  <c r="D1604" i="4"/>
  <c r="E1604" i="4"/>
  <c r="F1604" i="4"/>
  <c r="G1604" i="4"/>
  <c r="H1604" i="4"/>
  <c r="I1604" i="4"/>
  <c r="J1604" i="4"/>
  <c r="K1604" i="4"/>
  <c r="L1604" i="4"/>
  <c r="B1605" i="4"/>
  <c r="C1605" i="4"/>
  <c r="D1605" i="4"/>
  <c r="E1605" i="4"/>
  <c r="F1605" i="4"/>
  <c r="G1605" i="4"/>
  <c r="H1605" i="4"/>
  <c r="I1605" i="4"/>
  <c r="J1605" i="4"/>
  <c r="K1605" i="4"/>
  <c r="L1605" i="4"/>
  <c r="B1606" i="4"/>
  <c r="C1606" i="4"/>
  <c r="D1606" i="4"/>
  <c r="E1606" i="4"/>
  <c r="F1606" i="4"/>
  <c r="G1606" i="4"/>
  <c r="H1606" i="4"/>
  <c r="I1606" i="4"/>
  <c r="J1606" i="4"/>
  <c r="K1606" i="4"/>
  <c r="L1606" i="4"/>
  <c r="B1607" i="4"/>
  <c r="C1607" i="4"/>
  <c r="D1607" i="4"/>
  <c r="E1607" i="4"/>
  <c r="F1607" i="4"/>
  <c r="G1607" i="4"/>
  <c r="H1607" i="4"/>
  <c r="I1607" i="4"/>
  <c r="J1607" i="4"/>
  <c r="K1607" i="4"/>
  <c r="L1607" i="4"/>
  <c r="B1608" i="4"/>
  <c r="C1608" i="4"/>
  <c r="D1608" i="4"/>
  <c r="E1608" i="4"/>
  <c r="F1608" i="4"/>
  <c r="G1608" i="4"/>
  <c r="H1608" i="4"/>
  <c r="I1608" i="4"/>
  <c r="J1608" i="4"/>
  <c r="K1608" i="4"/>
  <c r="L1608" i="4"/>
  <c r="B1609" i="4"/>
  <c r="C1609" i="4"/>
  <c r="D1609" i="4"/>
  <c r="E1609" i="4"/>
  <c r="F1609" i="4"/>
  <c r="G1609" i="4"/>
  <c r="H1609" i="4"/>
  <c r="I1609" i="4"/>
  <c r="J1609" i="4"/>
  <c r="K1609" i="4"/>
  <c r="L1609" i="4"/>
  <c r="B1610" i="4"/>
  <c r="C1610" i="4"/>
  <c r="D1610" i="4"/>
  <c r="E1610" i="4"/>
  <c r="F1610" i="4"/>
  <c r="G1610" i="4"/>
  <c r="H1610" i="4"/>
  <c r="I1610" i="4"/>
  <c r="J1610" i="4"/>
  <c r="K1610" i="4"/>
  <c r="L1610" i="4"/>
  <c r="B1611" i="4"/>
  <c r="C1611" i="4"/>
  <c r="D1611" i="4"/>
  <c r="E1611" i="4"/>
  <c r="F1611" i="4"/>
  <c r="G1611" i="4"/>
  <c r="H1611" i="4"/>
  <c r="I1611" i="4"/>
  <c r="J1611" i="4"/>
  <c r="K1611" i="4"/>
  <c r="L1611" i="4"/>
  <c r="B1612" i="4"/>
  <c r="C1612" i="4"/>
  <c r="D1612" i="4"/>
  <c r="E1612" i="4"/>
  <c r="F1612" i="4"/>
  <c r="G1612" i="4"/>
  <c r="H1612" i="4"/>
  <c r="I1612" i="4"/>
  <c r="J1612" i="4"/>
  <c r="K1612" i="4"/>
  <c r="L1612" i="4"/>
  <c r="B1613" i="4"/>
  <c r="C1613" i="4"/>
  <c r="D1613" i="4"/>
  <c r="E1613" i="4"/>
  <c r="F1613" i="4"/>
  <c r="G1613" i="4"/>
  <c r="H1613" i="4"/>
  <c r="I1613" i="4"/>
  <c r="J1613" i="4"/>
  <c r="K1613" i="4"/>
  <c r="L1613" i="4"/>
  <c r="B1614" i="4"/>
  <c r="C1614" i="4"/>
  <c r="D1614" i="4"/>
  <c r="E1614" i="4"/>
  <c r="F1614" i="4"/>
  <c r="G1614" i="4"/>
  <c r="H1614" i="4"/>
  <c r="I1614" i="4"/>
  <c r="J1614" i="4"/>
  <c r="K1614" i="4"/>
  <c r="L1614" i="4"/>
  <c r="B1615" i="4"/>
  <c r="C1615" i="4"/>
  <c r="D1615" i="4"/>
  <c r="E1615" i="4"/>
  <c r="F1615" i="4"/>
  <c r="G1615" i="4"/>
  <c r="H1615" i="4"/>
  <c r="I1615" i="4"/>
  <c r="J1615" i="4"/>
  <c r="K1615" i="4"/>
  <c r="L1615" i="4"/>
  <c r="B1616" i="4"/>
  <c r="C1616" i="4"/>
  <c r="D1616" i="4"/>
  <c r="E1616" i="4"/>
  <c r="F1616" i="4"/>
  <c r="G1616" i="4"/>
  <c r="H1616" i="4"/>
  <c r="I1616" i="4"/>
  <c r="J1616" i="4"/>
  <c r="K1616" i="4"/>
  <c r="L1616" i="4"/>
  <c r="B1617" i="4"/>
  <c r="C1617" i="4"/>
  <c r="D1617" i="4"/>
  <c r="E1617" i="4"/>
  <c r="F1617" i="4"/>
  <c r="G1617" i="4"/>
  <c r="H1617" i="4"/>
  <c r="I1617" i="4"/>
  <c r="J1617" i="4"/>
  <c r="K1617" i="4"/>
  <c r="L1617" i="4"/>
  <c r="B1618" i="4"/>
  <c r="C1618" i="4"/>
  <c r="D1618" i="4"/>
  <c r="E1618" i="4"/>
  <c r="F1618" i="4"/>
  <c r="G1618" i="4"/>
  <c r="H1618" i="4"/>
  <c r="I1618" i="4"/>
  <c r="J1618" i="4"/>
  <c r="K1618" i="4"/>
  <c r="L1618" i="4"/>
  <c r="B1619" i="4"/>
  <c r="C1619" i="4"/>
  <c r="D1619" i="4"/>
  <c r="E1619" i="4"/>
  <c r="F1619" i="4"/>
  <c r="G1619" i="4"/>
  <c r="H1619" i="4"/>
  <c r="I1619" i="4"/>
  <c r="J1619" i="4"/>
  <c r="K1619" i="4"/>
  <c r="L1619" i="4"/>
  <c r="B1620" i="4"/>
  <c r="C1620" i="4"/>
  <c r="D1620" i="4"/>
  <c r="E1620" i="4"/>
  <c r="F1620" i="4"/>
  <c r="G1620" i="4"/>
  <c r="H1620" i="4"/>
  <c r="I1620" i="4"/>
  <c r="J1620" i="4"/>
  <c r="K1620" i="4"/>
  <c r="L1620" i="4"/>
  <c r="B1621" i="4"/>
  <c r="C1621" i="4"/>
  <c r="D1621" i="4"/>
  <c r="E1621" i="4"/>
  <c r="F1621" i="4"/>
  <c r="G1621" i="4"/>
  <c r="H1621" i="4"/>
  <c r="I1621" i="4"/>
  <c r="J1621" i="4"/>
  <c r="K1621" i="4"/>
  <c r="L1621" i="4"/>
  <c r="B1622" i="4"/>
  <c r="C1622" i="4"/>
  <c r="D1622" i="4"/>
  <c r="E1622" i="4"/>
  <c r="F1622" i="4"/>
  <c r="G1622" i="4"/>
  <c r="H1622" i="4"/>
  <c r="I1622" i="4"/>
  <c r="J1622" i="4"/>
  <c r="K1622" i="4"/>
  <c r="L1622" i="4"/>
  <c r="B1623" i="4"/>
  <c r="C1623" i="4"/>
  <c r="D1623" i="4"/>
  <c r="E1623" i="4"/>
  <c r="F1623" i="4"/>
  <c r="G1623" i="4"/>
  <c r="H1623" i="4"/>
  <c r="I1623" i="4"/>
  <c r="J1623" i="4"/>
  <c r="K1623" i="4"/>
  <c r="L1623" i="4"/>
  <c r="B1624" i="4"/>
  <c r="C1624" i="4"/>
  <c r="D1624" i="4"/>
  <c r="E1624" i="4"/>
  <c r="F1624" i="4"/>
  <c r="G1624" i="4"/>
  <c r="H1624" i="4"/>
  <c r="I1624" i="4"/>
  <c r="J1624" i="4"/>
  <c r="K1624" i="4"/>
  <c r="L1624" i="4"/>
  <c r="B1625" i="4"/>
  <c r="C1625" i="4"/>
  <c r="D1625" i="4"/>
  <c r="E1625" i="4"/>
  <c r="F1625" i="4"/>
  <c r="G1625" i="4"/>
  <c r="H1625" i="4"/>
  <c r="I1625" i="4"/>
  <c r="J1625" i="4"/>
  <c r="K1625" i="4"/>
  <c r="L1625" i="4"/>
  <c r="B1626" i="4"/>
  <c r="C1626" i="4"/>
  <c r="D1626" i="4"/>
  <c r="E1626" i="4"/>
  <c r="F1626" i="4"/>
  <c r="G1626" i="4"/>
  <c r="H1626" i="4"/>
  <c r="I1626" i="4"/>
  <c r="J1626" i="4"/>
  <c r="K1626" i="4"/>
  <c r="L1626" i="4"/>
  <c r="B1627" i="4"/>
  <c r="C1627" i="4"/>
  <c r="D1627" i="4"/>
  <c r="E1627" i="4"/>
  <c r="F1627" i="4"/>
  <c r="G1627" i="4"/>
  <c r="H1627" i="4"/>
  <c r="I1627" i="4"/>
  <c r="J1627" i="4"/>
  <c r="K1627" i="4"/>
  <c r="L1627" i="4"/>
  <c r="B1628" i="4"/>
  <c r="C1628" i="4"/>
  <c r="D1628" i="4"/>
  <c r="E1628" i="4"/>
  <c r="F1628" i="4"/>
  <c r="G1628" i="4"/>
  <c r="H1628" i="4"/>
  <c r="I1628" i="4"/>
  <c r="J1628" i="4"/>
  <c r="K1628" i="4"/>
  <c r="L1628" i="4"/>
  <c r="B1629" i="4"/>
  <c r="C1629" i="4"/>
  <c r="D1629" i="4"/>
  <c r="E1629" i="4"/>
  <c r="F1629" i="4"/>
  <c r="G1629" i="4"/>
  <c r="H1629" i="4"/>
  <c r="I1629" i="4"/>
  <c r="J1629" i="4"/>
  <c r="K1629" i="4"/>
  <c r="L1629" i="4"/>
  <c r="B1630" i="4"/>
  <c r="C1630" i="4"/>
  <c r="D1630" i="4"/>
  <c r="E1630" i="4"/>
  <c r="F1630" i="4"/>
  <c r="G1630" i="4"/>
  <c r="H1630" i="4"/>
  <c r="I1630" i="4"/>
  <c r="J1630" i="4"/>
  <c r="K1630" i="4"/>
  <c r="L1630" i="4"/>
  <c r="B1631" i="4"/>
  <c r="C1631" i="4"/>
  <c r="D1631" i="4"/>
  <c r="E1631" i="4"/>
  <c r="F1631" i="4"/>
  <c r="G1631" i="4"/>
  <c r="H1631" i="4"/>
  <c r="I1631" i="4"/>
  <c r="J1631" i="4"/>
  <c r="K1631" i="4"/>
  <c r="L1631" i="4"/>
  <c r="B1632" i="4"/>
  <c r="C1632" i="4"/>
  <c r="D1632" i="4"/>
  <c r="E1632" i="4"/>
  <c r="F1632" i="4"/>
  <c r="G1632" i="4"/>
  <c r="H1632" i="4"/>
  <c r="I1632" i="4"/>
  <c r="J1632" i="4"/>
  <c r="K1632" i="4"/>
  <c r="L1632" i="4"/>
  <c r="B1633" i="4"/>
  <c r="C1633" i="4"/>
  <c r="D1633" i="4"/>
  <c r="E1633" i="4"/>
  <c r="F1633" i="4"/>
  <c r="G1633" i="4"/>
  <c r="H1633" i="4"/>
  <c r="I1633" i="4"/>
  <c r="J1633" i="4"/>
  <c r="K1633" i="4"/>
  <c r="L1633" i="4"/>
  <c r="B1634" i="4"/>
  <c r="C1634" i="4"/>
  <c r="D1634" i="4"/>
  <c r="E1634" i="4"/>
  <c r="F1634" i="4"/>
  <c r="G1634" i="4"/>
  <c r="H1634" i="4"/>
  <c r="I1634" i="4"/>
  <c r="J1634" i="4"/>
  <c r="K1634" i="4"/>
  <c r="L1634" i="4"/>
  <c r="B1635" i="4"/>
  <c r="C1635" i="4"/>
  <c r="D1635" i="4"/>
  <c r="E1635" i="4"/>
  <c r="F1635" i="4"/>
  <c r="G1635" i="4"/>
  <c r="H1635" i="4"/>
  <c r="I1635" i="4"/>
  <c r="J1635" i="4"/>
  <c r="K1635" i="4"/>
  <c r="L1635" i="4"/>
  <c r="B1636" i="4"/>
  <c r="C1636" i="4"/>
  <c r="D1636" i="4"/>
  <c r="E1636" i="4"/>
  <c r="F1636" i="4"/>
  <c r="G1636" i="4"/>
  <c r="H1636" i="4"/>
  <c r="I1636" i="4"/>
  <c r="J1636" i="4"/>
  <c r="K1636" i="4"/>
  <c r="L1636" i="4"/>
  <c r="B1637" i="4"/>
  <c r="C1637" i="4"/>
  <c r="D1637" i="4"/>
  <c r="E1637" i="4"/>
  <c r="F1637" i="4"/>
  <c r="G1637" i="4"/>
  <c r="H1637" i="4"/>
  <c r="I1637" i="4"/>
  <c r="J1637" i="4"/>
  <c r="K1637" i="4"/>
  <c r="L1637" i="4"/>
  <c r="B1638" i="4"/>
  <c r="C1638" i="4"/>
  <c r="D1638" i="4"/>
  <c r="E1638" i="4"/>
  <c r="F1638" i="4"/>
  <c r="G1638" i="4"/>
  <c r="H1638" i="4"/>
  <c r="I1638" i="4"/>
  <c r="J1638" i="4"/>
  <c r="K1638" i="4"/>
  <c r="L1638" i="4"/>
  <c r="B1639" i="4"/>
  <c r="C1639" i="4"/>
  <c r="D1639" i="4"/>
  <c r="E1639" i="4"/>
  <c r="F1639" i="4"/>
  <c r="G1639" i="4"/>
  <c r="H1639" i="4"/>
  <c r="I1639" i="4"/>
  <c r="J1639" i="4"/>
  <c r="K1639" i="4"/>
  <c r="L1639" i="4"/>
  <c r="B1640" i="4"/>
  <c r="C1640" i="4"/>
  <c r="D1640" i="4"/>
  <c r="E1640" i="4"/>
  <c r="F1640" i="4"/>
  <c r="G1640" i="4"/>
  <c r="H1640" i="4"/>
  <c r="I1640" i="4"/>
  <c r="J1640" i="4"/>
  <c r="K1640" i="4"/>
  <c r="L1640" i="4"/>
  <c r="B1641" i="4"/>
  <c r="C1641" i="4"/>
  <c r="D1641" i="4"/>
  <c r="E1641" i="4"/>
  <c r="F1641" i="4"/>
  <c r="G1641" i="4"/>
  <c r="H1641" i="4"/>
  <c r="I1641" i="4"/>
  <c r="J1641" i="4"/>
  <c r="K1641" i="4"/>
  <c r="L1641" i="4"/>
  <c r="B1642" i="4"/>
  <c r="C1642" i="4"/>
  <c r="D1642" i="4"/>
  <c r="E1642" i="4"/>
  <c r="F1642" i="4"/>
  <c r="G1642" i="4"/>
  <c r="H1642" i="4"/>
  <c r="I1642" i="4"/>
  <c r="J1642" i="4"/>
  <c r="K1642" i="4"/>
  <c r="L1642" i="4"/>
  <c r="B1643" i="4"/>
  <c r="C1643" i="4"/>
  <c r="D1643" i="4"/>
  <c r="E1643" i="4"/>
  <c r="F1643" i="4"/>
  <c r="G1643" i="4"/>
  <c r="H1643" i="4"/>
  <c r="I1643" i="4"/>
  <c r="J1643" i="4"/>
  <c r="K1643" i="4"/>
  <c r="L1643" i="4"/>
  <c r="B1644" i="4"/>
  <c r="C1644" i="4"/>
  <c r="D1644" i="4"/>
  <c r="E1644" i="4"/>
  <c r="F1644" i="4"/>
  <c r="G1644" i="4"/>
  <c r="H1644" i="4"/>
  <c r="I1644" i="4"/>
  <c r="J1644" i="4"/>
  <c r="K1644" i="4"/>
  <c r="L1644" i="4"/>
  <c r="B1645" i="4"/>
  <c r="C1645" i="4"/>
  <c r="D1645" i="4"/>
  <c r="E1645" i="4"/>
  <c r="F1645" i="4"/>
  <c r="G1645" i="4"/>
  <c r="H1645" i="4"/>
  <c r="I1645" i="4"/>
  <c r="J1645" i="4"/>
  <c r="K1645" i="4"/>
  <c r="L1645" i="4"/>
  <c r="B1646" i="4"/>
  <c r="C1646" i="4"/>
  <c r="D1646" i="4"/>
  <c r="E1646" i="4"/>
  <c r="F1646" i="4"/>
  <c r="G1646" i="4"/>
  <c r="H1646" i="4"/>
  <c r="I1646" i="4"/>
  <c r="J1646" i="4"/>
  <c r="K1646" i="4"/>
  <c r="L1646" i="4"/>
  <c r="B1647" i="4"/>
  <c r="C1647" i="4"/>
  <c r="D1647" i="4"/>
  <c r="E1647" i="4"/>
  <c r="F1647" i="4"/>
  <c r="G1647" i="4"/>
  <c r="H1647" i="4"/>
  <c r="I1647" i="4"/>
  <c r="J1647" i="4"/>
  <c r="K1647" i="4"/>
  <c r="L1647" i="4"/>
  <c r="B1648" i="4"/>
  <c r="C1648" i="4"/>
  <c r="D1648" i="4"/>
  <c r="E1648" i="4"/>
  <c r="F1648" i="4"/>
  <c r="G1648" i="4"/>
  <c r="H1648" i="4"/>
  <c r="I1648" i="4"/>
  <c r="J1648" i="4"/>
  <c r="K1648" i="4"/>
  <c r="L1648" i="4"/>
  <c r="B1649" i="4"/>
  <c r="C1649" i="4"/>
  <c r="D1649" i="4"/>
  <c r="E1649" i="4"/>
  <c r="F1649" i="4"/>
  <c r="G1649" i="4"/>
  <c r="H1649" i="4"/>
  <c r="I1649" i="4"/>
  <c r="J1649" i="4"/>
  <c r="K1649" i="4"/>
  <c r="L1649" i="4"/>
  <c r="B1650" i="4"/>
  <c r="C1650" i="4"/>
  <c r="D1650" i="4"/>
  <c r="E1650" i="4"/>
  <c r="F1650" i="4"/>
  <c r="G1650" i="4"/>
  <c r="H1650" i="4"/>
  <c r="I1650" i="4"/>
  <c r="J1650" i="4"/>
  <c r="K1650" i="4"/>
  <c r="L1650" i="4"/>
  <c r="B1651" i="4"/>
  <c r="C1651" i="4"/>
  <c r="D1651" i="4"/>
  <c r="E1651" i="4"/>
  <c r="F1651" i="4"/>
  <c r="G1651" i="4"/>
  <c r="H1651" i="4"/>
  <c r="I1651" i="4"/>
  <c r="J1651" i="4"/>
  <c r="K1651" i="4"/>
  <c r="L1651" i="4"/>
  <c r="B1652" i="4"/>
  <c r="C1652" i="4"/>
  <c r="D1652" i="4"/>
  <c r="E1652" i="4"/>
  <c r="F1652" i="4"/>
  <c r="G1652" i="4"/>
  <c r="H1652" i="4"/>
  <c r="I1652" i="4"/>
  <c r="J1652" i="4"/>
  <c r="K1652" i="4"/>
  <c r="L1652" i="4"/>
  <c r="B1653" i="4"/>
  <c r="C1653" i="4"/>
  <c r="D1653" i="4"/>
  <c r="E1653" i="4"/>
  <c r="F1653" i="4"/>
  <c r="G1653" i="4"/>
  <c r="H1653" i="4"/>
  <c r="I1653" i="4"/>
  <c r="J1653" i="4"/>
  <c r="K1653" i="4"/>
  <c r="L1653" i="4"/>
  <c r="B1654" i="4"/>
  <c r="C1654" i="4"/>
  <c r="D1654" i="4"/>
  <c r="E1654" i="4"/>
  <c r="F1654" i="4"/>
  <c r="G1654" i="4"/>
  <c r="H1654" i="4"/>
  <c r="I1654" i="4"/>
  <c r="J1654" i="4"/>
  <c r="K1654" i="4"/>
  <c r="L1654" i="4"/>
  <c r="B1655" i="4"/>
  <c r="C1655" i="4"/>
  <c r="D1655" i="4"/>
  <c r="E1655" i="4"/>
  <c r="F1655" i="4"/>
  <c r="G1655" i="4"/>
  <c r="H1655" i="4"/>
  <c r="I1655" i="4"/>
  <c r="J1655" i="4"/>
  <c r="K1655" i="4"/>
  <c r="L1655" i="4"/>
  <c r="B1656" i="4"/>
  <c r="C1656" i="4"/>
  <c r="D1656" i="4"/>
  <c r="E1656" i="4"/>
  <c r="F1656" i="4"/>
  <c r="G1656" i="4"/>
  <c r="H1656" i="4"/>
  <c r="I1656" i="4"/>
  <c r="J1656" i="4"/>
  <c r="K1656" i="4"/>
  <c r="L1656" i="4"/>
  <c r="B1657" i="4"/>
  <c r="C1657" i="4"/>
  <c r="D1657" i="4"/>
  <c r="E1657" i="4"/>
  <c r="F1657" i="4"/>
  <c r="G1657" i="4"/>
  <c r="H1657" i="4"/>
  <c r="I1657" i="4"/>
  <c r="J1657" i="4"/>
  <c r="K1657" i="4"/>
  <c r="L1657" i="4"/>
  <c r="B1658" i="4"/>
  <c r="C1658" i="4"/>
  <c r="D1658" i="4"/>
  <c r="E1658" i="4"/>
  <c r="F1658" i="4"/>
  <c r="G1658" i="4"/>
  <c r="H1658" i="4"/>
  <c r="I1658" i="4"/>
  <c r="J1658" i="4"/>
  <c r="K1658" i="4"/>
  <c r="L1658" i="4"/>
  <c r="B1659" i="4"/>
  <c r="C1659" i="4"/>
  <c r="D1659" i="4"/>
  <c r="E1659" i="4"/>
  <c r="F1659" i="4"/>
  <c r="G1659" i="4"/>
  <c r="H1659" i="4"/>
  <c r="I1659" i="4"/>
  <c r="J1659" i="4"/>
  <c r="K1659" i="4"/>
  <c r="L1659" i="4"/>
  <c r="B1660" i="4"/>
  <c r="C1660" i="4"/>
  <c r="D1660" i="4"/>
  <c r="E1660" i="4"/>
  <c r="F1660" i="4"/>
  <c r="G1660" i="4"/>
  <c r="H1660" i="4"/>
  <c r="I1660" i="4"/>
  <c r="J1660" i="4"/>
  <c r="K1660" i="4"/>
  <c r="L1660" i="4"/>
  <c r="B1661" i="4"/>
  <c r="C1661" i="4"/>
  <c r="D1661" i="4"/>
  <c r="E1661" i="4"/>
  <c r="F1661" i="4"/>
  <c r="G1661" i="4"/>
  <c r="H1661" i="4"/>
  <c r="I1661" i="4"/>
  <c r="J1661" i="4"/>
  <c r="K1661" i="4"/>
  <c r="L1661" i="4"/>
  <c r="B1662" i="4"/>
  <c r="C1662" i="4"/>
  <c r="D1662" i="4"/>
  <c r="E1662" i="4"/>
  <c r="F1662" i="4"/>
  <c r="G1662" i="4"/>
  <c r="H1662" i="4"/>
  <c r="I1662" i="4"/>
  <c r="J1662" i="4"/>
  <c r="K1662" i="4"/>
  <c r="L1662" i="4"/>
  <c r="B1663" i="4"/>
  <c r="C1663" i="4"/>
  <c r="D1663" i="4"/>
  <c r="E1663" i="4"/>
  <c r="F1663" i="4"/>
  <c r="G1663" i="4"/>
  <c r="H1663" i="4"/>
  <c r="I1663" i="4"/>
  <c r="J1663" i="4"/>
  <c r="K1663" i="4"/>
  <c r="L1663" i="4"/>
  <c r="B1664" i="4"/>
  <c r="C1664" i="4"/>
  <c r="D1664" i="4"/>
  <c r="E1664" i="4"/>
  <c r="F1664" i="4"/>
  <c r="G1664" i="4"/>
  <c r="H1664" i="4"/>
  <c r="I1664" i="4"/>
  <c r="J1664" i="4"/>
  <c r="K1664" i="4"/>
  <c r="L1664" i="4"/>
  <c r="B1665" i="4"/>
  <c r="C1665" i="4"/>
  <c r="D1665" i="4"/>
  <c r="E1665" i="4"/>
  <c r="F1665" i="4"/>
  <c r="G1665" i="4"/>
  <c r="H1665" i="4"/>
  <c r="I1665" i="4"/>
  <c r="J1665" i="4"/>
  <c r="K1665" i="4"/>
  <c r="L1665" i="4"/>
  <c r="B1666" i="4"/>
  <c r="C1666" i="4"/>
  <c r="D1666" i="4"/>
  <c r="E1666" i="4"/>
  <c r="F1666" i="4"/>
  <c r="G1666" i="4"/>
  <c r="H1666" i="4"/>
  <c r="I1666" i="4"/>
  <c r="J1666" i="4"/>
  <c r="K1666" i="4"/>
  <c r="L1666" i="4"/>
  <c r="B1667" i="4"/>
  <c r="C1667" i="4"/>
  <c r="D1667" i="4"/>
  <c r="E1667" i="4"/>
  <c r="F1667" i="4"/>
  <c r="G1667" i="4"/>
  <c r="H1667" i="4"/>
  <c r="I1667" i="4"/>
  <c r="J1667" i="4"/>
  <c r="K1667" i="4"/>
  <c r="L1667" i="4"/>
  <c r="B1668" i="4"/>
  <c r="C1668" i="4"/>
  <c r="D1668" i="4"/>
  <c r="E1668" i="4"/>
  <c r="F1668" i="4"/>
  <c r="G1668" i="4"/>
  <c r="H1668" i="4"/>
  <c r="I1668" i="4"/>
  <c r="J1668" i="4"/>
  <c r="K1668" i="4"/>
  <c r="L1668" i="4"/>
  <c r="B1669" i="4"/>
  <c r="C1669" i="4"/>
  <c r="D1669" i="4"/>
  <c r="E1669" i="4"/>
  <c r="F1669" i="4"/>
  <c r="G1669" i="4"/>
  <c r="H1669" i="4"/>
  <c r="I1669" i="4"/>
  <c r="J1669" i="4"/>
  <c r="K1669" i="4"/>
  <c r="L1669" i="4"/>
  <c r="B1670" i="4"/>
  <c r="C1670" i="4"/>
  <c r="D1670" i="4"/>
  <c r="E1670" i="4"/>
  <c r="F1670" i="4"/>
  <c r="G1670" i="4"/>
  <c r="H1670" i="4"/>
  <c r="I1670" i="4"/>
  <c r="J1670" i="4"/>
  <c r="K1670" i="4"/>
  <c r="L1670" i="4"/>
  <c r="B1671" i="4"/>
  <c r="C1671" i="4"/>
  <c r="D1671" i="4"/>
  <c r="E1671" i="4"/>
  <c r="F1671" i="4"/>
  <c r="G1671" i="4"/>
  <c r="H1671" i="4"/>
  <c r="I1671" i="4"/>
  <c r="J1671" i="4"/>
  <c r="K1671" i="4"/>
  <c r="L1671" i="4"/>
  <c r="B1672" i="4"/>
  <c r="C1672" i="4"/>
  <c r="D1672" i="4"/>
  <c r="E1672" i="4"/>
  <c r="F1672" i="4"/>
  <c r="G1672" i="4"/>
  <c r="H1672" i="4"/>
  <c r="I1672" i="4"/>
  <c r="J1672" i="4"/>
  <c r="K1672" i="4"/>
  <c r="L1672" i="4"/>
  <c r="B1673" i="4"/>
  <c r="C1673" i="4"/>
  <c r="D1673" i="4"/>
  <c r="E1673" i="4"/>
  <c r="F1673" i="4"/>
  <c r="G1673" i="4"/>
  <c r="H1673" i="4"/>
  <c r="I1673" i="4"/>
  <c r="J1673" i="4"/>
  <c r="K1673" i="4"/>
  <c r="L1673" i="4"/>
  <c r="B1674" i="4"/>
  <c r="C1674" i="4"/>
  <c r="D1674" i="4"/>
  <c r="E1674" i="4"/>
  <c r="F1674" i="4"/>
  <c r="G1674" i="4"/>
  <c r="H1674" i="4"/>
  <c r="I1674" i="4"/>
  <c r="J1674" i="4"/>
  <c r="K1674" i="4"/>
  <c r="L1674" i="4"/>
  <c r="B1675" i="4"/>
  <c r="C1675" i="4"/>
  <c r="D1675" i="4"/>
  <c r="E1675" i="4"/>
  <c r="F1675" i="4"/>
  <c r="G1675" i="4"/>
  <c r="H1675" i="4"/>
  <c r="I1675" i="4"/>
  <c r="J1675" i="4"/>
  <c r="K1675" i="4"/>
  <c r="L1675" i="4"/>
  <c r="B1676" i="4"/>
  <c r="C1676" i="4"/>
  <c r="D1676" i="4"/>
  <c r="E1676" i="4"/>
  <c r="F1676" i="4"/>
  <c r="G1676" i="4"/>
  <c r="H1676" i="4"/>
  <c r="I1676" i="4"/>
  <c r="J1676" i="4"/>
  <c r="K1676" i="4"/>
  <c r="L1676" i="4"/>
  <c r="B1677" i="4"/>
  <c r="C1677" i="4"/>
  <c r="D1677" i="4"/>
  <c r="E1677" i="4"/>
  <c r="F1677" i="4"/>
  <c r="G1677" i="4"/>
  <c r="H1677" i="4"/>
  <c r="I1677" i="4"/>
  <c r="J1677" i="4"/>
  <c r="K1677" i="4"/>
  <c r="L1677" i="4"/>
  <c r="B1678" i="4"/>
  <c r="C1678" i="4"/>
  <c r="D1678" i="4"/>
  <c r="E1678" i="4"/>
  <c r="F1678" i="4"/>
  <c r="G1678" i="4"/>
  <c r="H1678" i="4"/>
  <c r="I1678" i="4"/>
  <c r="J1678" i="4"/>
  <c r="K1678" i="4"/>
  <c r="L1678" i="4"/>
  <c r="B1679" i="4"/>
  <c r="C1679" i="4"/>
  <c r="D1679" i="4"/>
  <c r="E1679" i="4"/>
  <c r="F1679" i="4"/>
  <c r="G1679" i="4"/>
  <c r="H1679" i="4"/>
  <c r="I1679" i="4"/>
  <c r="J1679" i="4"/>
  <c r="K1679" i="4"/>
  <c r="L1679" i="4"/>
  <c r="B1680" i="4"/>
  <c r="C1680" i="4"/>
  <c r="D1680" i="4"/>
  <c r="E1680" i="4"/>
  <c r="F1680" i="4"/>
  <c r="G1680" i="4"/>
  <c r="H1680" i="4"/>
  <c r="I1680" i="4"/>
  <c r="J1680" i="4"/>
  <c r="K1680" i="4"/>
  <c r="L1680" i="4"/>
  <c r="B1681" i="4"/>
  <c r="C1681" i="4"/>
  <c r="D1681" i="4"/>
  <c r="E1681" i="4"/>
  <c r="F1681" i="4"/>
  <c r="G1681" i="4"/>
  <c r="H1681" i="4"/>
  <c r="I1681" i="4"/>
  <c r="J1681" i="4"/>
  <c r="K1681" i="4"/>
  <c r="L1681" i="4"/>
  <c r="B1682" i="4"/>
  <c r="C1682" i="4"/>
  <c r="D1682" i="4"/>
  <c r="E1682" i="4"/>
  <c r="F1682" i="4"/>
  <c r="G1682" i="4"/>
  <c r="H1682" i="4"/>
  <c r="I1682" i="4"/>
  <c r="J1682" i="4"/>
  <c r="K1682" i="4"/>
  <c r="L1682" i="4"/>
  <c r="B1683" i="4"/>
  <c r="C1683" i="4"/>
  <c r="D1683" i="4"/>
  <c r="E1683" i="4"/>
  <c r="F1683" i="4"/>
  <c r="G1683" i="4"/>
  <c r="H1683" i="4"/>
  <c r="I1683" i="4"/>
  <c r="J1683" i="4"/>
  <c r="K1683" i="4"/>
  <c r="L1683" i="4"/>
  <c r="B1684" i="4"/>
  <c r="C1684" i="4"/>
  <c r="D1684" i="4"/>
  <c r="E1684" i="4"/>
  <c r="F1684" i="4"/>
  <c r="G1684" i="4"/>
  <c r="H1684" i="4"/>
  <c r="I1684" i="4"/>
  <c r="J1684" i="4"/>
  <c r="K1684" i="4"/>
  <c r="L1684" i="4"/>
  <c r="B1685" i="4"/>
  <c r="C1685" i="4"/>
  <c r="D1685" i="4"/>
  <c r="E1685" i="4"/>
  <c r="F1685" i="4"/>
  <c r="G1685" i="4"/>
  <c r="H1685" i="4"/>
  <c r="I1685" i="4"/>
  <c r="J1685" i="4"/>
  <c r="K1685" i="4"/>
  <c r="L1685" i="4"/>
  <c r="B1686" i="4"/>
  <c r="C1686" i="4"/>
  <c r="D1686" i="4"/>
  <c r="E1686" i="4"/>
  <c r="F1686" i="4"/>
  <c r="G1686" i="4"/>
  <c r="H1686" i="4"/>
  <c r="I1686" i="4"/>
  <c r="J1686" i="4"/>
  <c r="K1686" i="4"/>
  <c r="L1686" i="4"/>
  <c r="B1687" i="4"/>
  <c r="C1687" i="4"/>
  <c r="D1687" i="4"/>
  <c r="E1687" i="4"/>
  <c r="F1687" i="4"/>
  <c r="G1687" i="4"/>
  <c r="H1687" i="4"/>
  <c r="I1687" i="4"/>
  <c r="J1687" i="4"/>
  <c r="K1687" i="4"/>
  <c r="L1687" i="4"/>
  <c r="B1688" i="4"/>
  <c r="C1688" i="4"/>
  <c r="D1688" i="4"/>
  <c r="E1688" i="4"/>
  <c r="F1688" i="4"/>
  <c r="G1688" i="4"/>
  <c r="H1688" i="4"/>
  <c r="I1688" i="4"/>
  <c r="J1688" i="4"/>
  <c r="K1688" i="4"/>
  <c r="L1688" i="4"/>
  <c r="B1689" i="4"/>
  <c r="C1689" i="4"/>
  <c r="D1689" i="4"/>
  <c r="E1689" i="4"/>
  <c r="F1689" i="4"/>
  <c r="G1689" i="4"/>
  <c r="H1689" i="4"/>
  <c r="I1689" i="4"/>
  <c r="J1689" i="4"/>
  <c r="K1689" i="4"/>
  <c r="L1689" i="4"/>
  <c r="B1690" i="4"/>
  <c r="C1690" i="4"/>
  <c r="D1690" i="4"/>
  <c r="E1690" i="4"/>
  <c r="F1690" i="4"/>
  <c r="G1690" i="4"/>
  <c r="H1690" i="4"/>
  <c r="I1690" i="4"/>
  <c r="J1690" i="4"/>
  <c r="K1690" i="4"/>
  <c r="L1690" i="4"/>
  <c r="B1691" i="4"/>
  <c r="C1691" i="4"/>
  <c r="D1691" i="4"/>
  <c r="E1691" i="4"/>
  <c r="F1691" i="4"/>
  <c r="G1691" i="4"/>
  <c r="H1691" i="4"/>
  <c r="I1691" i="4"/>
  <c r="J1691" i="4"/>
  <c r="K1691" i="4"/>
  <c r="L1691" i="4"/>
  <c r="B1692" i="4"/>
  <c r="C1692" i="4"/>
  <c r="D1692" i="4"/>
  <c r="E1692" i="4"/>
  <c r="F1692" i="4"/>
  <c r="G1692" i="4"/>
  <c r="H1692" i="4"/>
  <c r="I1692" i="4"/>
  <c r="J1692" i="4"/>
  <c r="K1692" i="4"/>
  <c r="L1692" i="4"/>
  <c r="B1693" i="4"/>
  <c r="C1693" i="4"/>
  <c r="D1693" i="4"/>
  <c r="E1693" i="4"/>
  <c r="F1693" i="4"/>
  <c r="G1693" i="4"/>
  <c r="H1693" i="4"/>
  <c r="I1693" i="4"/>
  <c r="J1693" i="4"/>
  <c r="K1693" i="4"/>
  <c r="L1693" i="4"/>
  <c r="B1694" i="4"/>
  <c r="C1694" i="4"/>
  <c r="D1694" i="4"/>
  <c r="E1694" i="4"/>
  <c r="F1694" i="4"/>
  <c r="G1694" i="4"/>
  <c r="H1694" i="4"/>
  <c r="I1694" i="4"/>
  <c r="J1694" i="4"/>
  <c r="K1694" i="4"/>
  <c r="L1694" i="4"/>
  <c r="B1695" i="4"/>
  <c r="C1695" i="4"/>
  <c r="D1695" i="4"/>
  <c r="E1695" i="4"/>
  <c r="F1695" i="4"/>
  <c r="G1695" i="4"/>
  <c r="H1695" i="4"/>
  <c r="I1695" i="4"/>
  <c r="J1695" i="4"/>
  <c r="K1695" i="4"/>
  <c r="L1695" i="4"/>
  <c r="B1696" i="4"/>
  <c r="C1696" i="4"/>
  <c r="D1696" i="4"/>
  <c r="E1696" i="4"/>
  <c r="F1696" i="4"/>
  <c r="G1696" i="4"/>
  <c r="H1696" i="4"/>
  <c r="I1696" i="4"/>
  <c r="J1696" i="4"/>
  <c r="K1696" i="4"/>
  <c r="L1696" i="4"/>
  <c r="B1697" i="4"/>
  <c r="C1697" i="4"/>
  <c r="D1697" i="4"/>
  <c r="E1697" i="4"/>
  <c r="F1697" i="4"/>
  <c r="G1697" i="4"/>
  <c r="H1697" i="4"/>
  <c r="I1697" i="4"/>
  <c r="J1697" i="4"/>
  <c r="K1697" i="4"/>
  <c r="L1697" i="4"/>
  <c r="B1698" i="4"/>
  <c r="C1698" i="4"/>
  <c r="D1698" i="4"/>
  <c r="E1698" i="4"/>
  <c r="F1698" i="4"/>
  <c r="G1698" i="4"/>
  <c r="H1698" i="4"/>
  <c r="I1698" i="4"/>
  <c r="J1698" i="4"/>
  <c r="K1698" i="4"/>
  <c r="L1698" i="4"/>
  <c r="B1699" i="4"/>
  <c r="C1699" i="4"/>
  <c r="D1699" i="4"/>
  <c r="E1699" i="4"/>
  <c r="F1699" i="4"/>
  <c r="G1699" i="4"/>
  <c r="H1699" i="4"/>
  <c r="I1699" i="4"/>
  <c r="J1699" i="4"/>
  <c r="K1699" i="4"/>
  <c r="L1699" i="4"/>
  <c r="B1700" i="4"/>
  <c r="C1700" i="4"/>
  <c r="D1700" i="4"/>
  <c r="E1700" i="4"/>
  <c r="F1700" i="4"/>
  <c r="G1700" i="4"/>
  <c r="H1700" i="4"/>
  <c r="I1700" i="4"/>
  <c r="J1700" i="4"/>
  <c r="K1700" i="4"/>
  <c r="L1700" i="4"/>
  <c r="B1701" i="4"/>
  <c r="C1701" i="4"/>
  <c r="D1701" i="4"/>
  <c r="E1701" i="4"/>
  <c r="F1701" i="4"/>
  <c r="G1701" i="4"/>
  <c r="H1701" i="4"/>
  <c r="I1701" i="4"/>
  <c r="J1701" i="4"/>
  <c r="K1701" i="4"/>
  <c r="L1701" i="4"/>
  <c r="B1702" i="4"/>
  <c r="C1702" i="4"/>
  <c r="D1702" i="4"/>
  <c r="E1702" i="4"/>
  <c r="F1702" i="4"/>
  <c r="G1702" i="4"/>
  <c r="H1702" i="4"/>
  <c r="I1702" i="4"/>
  <c r="J1702" i="4"/>
  <c r="K1702" i="4"/>
  <c r="L1702" i="4"/>
  <c r="B1703" i="4"/>
  <c r="C1703" i="4"/>
  <c r="D1703" i="4"/>
  <c r="E1703" i="4"/>
  <c r="F1703" i="4"/>
  <c r="G1703" i="4"/>
  <c r="H1703" i="4"/>
  <c r="I1703" i="4"/>
  <c r="J1703" i="4"/>
  <c r="K1703" i="4"/>
  <c r="L1703" i="4"/>
  <c r="B1704" i="4"/>
  <c r="C1704" i="4"/>
  <c r="D1704" i="4"/>
  <c r="E1704" i="4"/>
  <c r="F1704" i="4"/>
  <c r="G1704" i="4"/>
  <c r="H1704" i="4"/>
  <c r="I1704" i="4"/>
  <c r="J1704" i="4"/>
  <c r="K1704" i="4"/>
  <c r="L1704" i="4"/>
  <c r="B1705" i="4"/>
  <c r="C1705" i="4"/>
  <c r="D1705" i="4"/>
  <c r="E1705" i="4"/>
  <c r="F1705" i="4"/>
  <c r="G1705" i="4"/>
  <c r="H1705" i="4"/>
  <c r="I1705" i="4"/>
  <c r="J1705" i="4"/>
  <c r="K1705" i="4"/>
  <c r="L1705" i="4"/>
  <c r="B1706" i="4"/>
  <c r="C1706" i="4"/>
  <c r="D1706" i="4"/>
  <c r="E1706" i="4"/>
  <c r="F1706" i="4"/>
  <c r="G1706" i="4"/>
  <c r="H1706" i="4"/>
  <c r="I1706" i="4"/>
  <c r="J1706" i="4"/>
  <c r="K1706" i="4"/>
  <c r="L1706" i="4"/>
  <c r="B1707" i="4"/>
  <c r="C1707" i="4"/>
  <c r="D1707" i="4"/>
  <c r="E1707" i="4"/>
  <c r="F1707" i="4"/>
  <c r="G1707" i="4"/>
  <c r="H1707" i="4"/>
  <c r="I1707" i="4"/>
  <c r="J1707" i="4"/>
  <c r="K1707" i="4"/>
  <c r="L1707" i="4"/>
  <c r="B1708" i="4"/>
  <c r="C1708" i="4"/>
  <c r="D1708" i="4"/>
  <c r="E1708" i="4"/>
  <c r="F1708" i="4"/>
  <c r="G1708" i="4"/>
  <c r="H1708" i="4"/>
  <c r="I1708" i="4"/>
  <c r="J1708" i="4"/>
  <c r="K1708" i="4"/>
  <c r="L1708" i="4"/>
  <c r="B1709" i="4"/>
  <c r="C1709" i="4"/>
  <c r="D1709" i="4"/>
  <c r="E1709" i="4"/>
  <c r="F1709" i="4"/>
  <c r="G1709" i="4"/>
  <c r="H1709" i="4"/>
  <c r="I1709" i="4"/>
  <c r="J1709" i="4"/>
  <c r="K1709" i="4"/>
  <c r="L1709" i="4"/>
  <c r="B1710" i="4"/>
  <c r="C1710" i="4"/>
  <c r="D1710" i="4"/>
  <c r="E1710" i="4"/>
  <c r="F1710" i="4"/>
  <c r="G1710" i="4"/>
  <c r="H1710" i="4"/>
  <c r="I1710" i="4"/>
  <c r="J1710" i="4"/>
  <c r="K1710" i="4"/>
  <c r="L1710" i="4"/>
  <c r="B1711" i="4"/>
  <c r="C1711" i="4"/>
  <c r="D1711" i="4"/>
  <c r="E1711" i="4"/>
  <c r="F1711" i="4"/>
  <c r="G1711" i="4"/>
  <c r="H1711" i="4"/>
  <c r="I1711" i="4"/>
  <c r="J1711" i="4"/>
  <c r="K1711" i="4"/>
  <c r="L1711" i="4"/>
  <c r="B1712" i="4"/>
  <c r="C1712" i="4"/>
  <c r="D1712" i="4"/>
  <c r="E1712" i="4"/>
  <c r="F1712" i="4"/>
  <c r="G1712" i="4"/>
  <c r="H1712" i="4"/>
  <c r="I1712" i="4"/>
  <c r="J1712" i="4"/>
  <c r="K1712" i="4"/>
  <c r="L1712" i="4"/>
  <c r="B1713" i="4"/>
  <c r="C1713" i="4"/>
  <c r="D1713" i="4"/>
  <c r="E1713" i="4"/>
  <c r="F1713" i="4"/>
  <c r="G1713" i="4"/>
  <c r="H1713" i="4"/>
  <c r="I1713" i="4"/>
  <c r="J1713" i="4"/>
  <c r="K1713" i="4"/>
  <c r="L1713" i="4"/>
  <c r="B1714" i="4"/>
  <c r="C1714" i="4"/>
  <c r="D1714" i="4"/>
  <c r="E1714" i="4"/>
  <c r="F1714" i="4"/>
  <c r="G1714" i="4"/>
  <c r="H1714" i="4"/>
  <c r="I1714" i="4"/>
  <c r="J1714" i="4"/>
  <c r="K1714" i="4"/>
  <c r="L1714" i="4"/>
  <c r="B1715" i="4"/>
  <c r="C1715" i="4"/>
  <c r="D1715" i="4"/>
  <c r="E1715" i="4"/>
  <c r="F1715" i="4"/>
  <c r="G1715" i="4"/>
  <c r="H1715" i="4"/>
  <c r="I1715" i="4"/>
  <c r="J1715" i="4"/>
  <c r="K1715" i="4"/>
  <c r="L1715" i="4"/>
  <c r="B1716" i="4"/>
  <c r="C1716" i="4"/>
  <c r="D1716" i="4"/>
  <c r="E1716" i="4"/>
  <c r="F1716" i="4"/>
  <c r="G1716" i="4"/>
  <c r="H1716" i="4"/>
  <c r="I1716" i="4"/>
  <c r="J1716" i="4"/>
  <c r="K1716" i="4"/>
  <c r="L1716" i="4"/>
  <c r="B1717" i="4"/>
  <c r="C1717" i="4"/>
  <c r="D1717" i="4"/>
  <c r="E1717" i="4"/>
  <c r="F1717" i="4"/>
  <c r="G1717" i="4"/>
  <c r="H1717" i="4"/>
  <c r="I1717" i="4"/>
  <c r="J1717" i="4"/>
  <c r="K1717" i="4"/>
  <c r="L1717" i="4"/>
  <c r="B1718" i="4"/>
  <c r="C1718" i="4"/>
  <c r="D1718" i="4"/>
  <c r="E1718" i="4"/>
  <c r="F1718" i="4"/>
  <c r="G1718" i="4"/>
  <c r="H1718" i="4"/>
  <c r="I1718" i="4"/>
  <c r="J1718" i="4"/>
  <c r="K1718" i="4"/>
  <c r="L1718" i="4"/>
  <c r="B1719" i="4"/>
  <c r="C1719" i="4"/>
  <c r="D1719" i="4"/>
  <c r="E1719" i="4"/>
  <c r="F1719" i="4"/>
  <c r="G1719" i="4"/>
  <c r="H1719" i="4"/>
  <c r="I1719" i="4"/>
  <c r="J1719" i="4"/>
  <c r="K1719" i="4"/>
  <c r="L1719" i="4"/>
  <c r="B1720" i="4"/>
  <c r="C1720" i="4"/>
  <c r="D1720" i="4"/>
  <c r="E1720" i="4"/>
  <c r="F1720" i="4"/>
  <c r="G1720" i="4"/>
  <c r="H1720" i="4"/>
  <c r="I1720" i="4"/>
  <c r="J1720" i="4"/>
  <c r="K1720" i="4"/>
  <c r="L1720" i="4"/>
  <c r="B1721" i="4"/>
  <c r="C1721" i="4"/>
  <c r="D1721" i="4"/>
  <c r="E1721" i="4"/>
  <c r="F1721" i="4"/>
  <c r="G1721" i="4"/>
  <c r="H1721" i="4"/>
  <c r="I1721" i="4"/>
  <c r="J1721" i="4"/>
  <c r="K1721" i="4"/>
  <c r="L1721" i="4"/>
  <c r="B1722" i="4"/>
  <c r="C1722" i="4"/>
  <c r="D1722" i="4"/>
  <c r="E1722" i="4"/>
  <c r="F1722" i="4"/>
  <c r="G1722" i="4"/>
  <c r="H1722" i="4"/>
  <c r="I1722" i="4"/>
  <c r="J1722" i="4"/>
  <c r="K1722" i="4"/>
  <c r="L1722" i="4"/>
  <c r="B1723" i="4"/>
  <c r="C1723" i="4"/>
  <c r="D1723" i="4"/>
  <c r="E1723" i="4"/>
  <c r="F1723" i="4"/>
  <c r="G1723" i="4"/>
  <c r="H1723" i="4"/>
  <c r="I1723" i="4"/>
  <c r="J1723" i="4"/>
  <c r="K1723" i="4"/>
  <c r="L1723" i="4"/>
  <c r="B1724" i="4"/>
  <c r="C1724" i="4"/>
  <c r="D1724" i="4"/>
  <c r="E1724" i="4"/>
  <c r="F1724" i="4"/>
  <c r="G1724" i="4"/>
  <c r="H1724" i="4"/>
  <c r="I1724" i="4"/>
  <c r="J1724" i="4"/>
  <c r="K1724" i="4"/>
  <c r="L1724" i="4"/>
  <c r="B1725" i="4"/>
  <c r="C1725" i="4"/>
  <c r="D1725" i="4"/>
  <c r="E1725" i="4"/>
  <c r="F1725" i="4"/>
  <c r="G1725" i="4"/>
  <c r="H1725" i="4"/>
  <c r="I1725" i="4"/>
  <c r="J1725" i="4"/>
  <c r="K1725" i="4"/>
  <c r="L1725" i="4"/>
  <c r="B1726" i="4"/>
  <c r="C1726" i="4"/>
  <c r="D1726" i="4"/>
  <c r="E1726" i="4"/>
  <c r="F1726" i="4"/>
  <c r="G1726" i="4"/>
  <c r="H1726" i="4"/>
  <c r="I1726" i="4"/>
  <c r="J1726" i="4"/>
  <c r="K1726" i="4"/>
  <c r="L1726" i="4"/>
  <c r="B1727" i="4"/>
  <c r="C1727" i="4"/>
  <c r="D1727" i="4"/>
  <c r="E1727" i="4"/>
  <c r="F1727" i="4"/>
  <c r="G1727" i="4"/>
  <c r="H1727" i="4"/>
  <c r="I1727" i="4"/>
  <c r="J1727" i="4"/>
  <c r="K1727" i="4"/>
  <c r="L1727" i="4"/>
  <c r="B1728" i="4"/>
  <c r="C1728" i="4"/>
  <c r="D1728" i="4"/>
  <c r="E1728" i="4"/>
  <c r="F1728" i="4"/>
  <c r="G1728" i="4"/>
  <c r="H1728" i="4"/>
  <c r="I1728" i="4"/>
  <c r="J1728" i="4"/>
  <c r="K1728" i="4"/>
  <c r="L1728" i="4"/>
  <c r="B1729" i="4"/>
  <c r="C1729" i="4"/>
  <c r="D1729" i="4"/>
  <c r="E1729" i="4"/>
  <c r="F1729" i="4"/>
  <c r="G1729" i="4"/>
  <c r="H1729" i="4"/>
  <c r="I1729" i="4"/>
  <c r="J1729" i="4"/>
  <c r="K1729" i="4"/>
  <c r="L1729" i="4"/>
  <c r="B1730" i="4"/>
  <c r="C1730" i="4"/>
  <c r="D1730" i="4"/>
  <c r="E1730" i="4"/>
  <c r="F1730" i="4"/>
  <c r="G1730" i="4"/>
  <c r="H1730" i="4"/>
  <c r="I1730" i="4"/>
  <c r="J1730" i="4"/>
  <c r="K1730" i="4"/>
  <c r="L1730" i="4"/>
  <c r="B1731" i="4"/>
  <c r="C1731" i="4"/>
  <c r="D1731" i="4"/>
  <c r="E1731" i="4"/>
  <c r="F1731" i="4"/>
  <c r="G1731" i="4"/>
  <c r="H1731" i="4"/>
  <c r="I1731" i="4"/>
  <c r="J1731" i="4"/>
  <c r="K1731" i="4"/>
  <c r="L1731" i="4"/>
  <c r="B1732" i="4"/>
  <c r="C1732" i="4"/>
  <c r="D1732" i="4"/>
  <c r="E1732" i="4"/>
  <c r="F1732" i="4"/>
  <c r="G1732" i="4"/>
  <c r="H1732" i="4"/>
  <c r="I1732" i="4"/>
  <c r="J1732" i="4"/>
  <c r="K1732" i="4"/>
  <c r="L1732" i="4"/>
  <c r="B1733" i="4"/>
  <c r="C1733" i="4"/>
  <c r="D1733" i="4"/>
  <c r="E1733" i="4"/>
  <c r="F1733" i="4"/>
  <c r="G1733" i="4"/>
  <c r="H1733" i="4"/>
  <c r="I1733" i="4"/>
  <c r="J1733" i="4"/>
  <c r="K1733" i="4"/>
  <c r="L1733" i="4"/>
  <c r="B1734" i="4"/>
  <c r="C1734" i="4"/>
  <c r="D1734" i="4"/>
  <c r="E1734" i="4"/>
  <c r="F1734" i="4"/>
  <c r="G1734" i="4"/>
  <c r="H1734" i="4"/>
  <c r="I1734" i="4"/>
  <c r="J1734" i="4"/>
  <c r="K1734" i="4"/>
  <c r="L1734" i="4"/>
  <c r="B1735" i="4"/>
  <c r="C1735" i="4"/>
  <c r="D1735" i="4"/>
  <c r="E1735" i="4"/>
  <c r="F1735" i="4"/>
  <c r="G1735" i="4"/>
  <c r="H1735" i="4"/>
  <c r="I1735" i="4"/>
  <c r="J1735" i="4"/>
  <c r="K1735" i="4"/>
  <c r="L1735" i="4"/>
  <c r="B1736" i="4"/>
  <c r="C1736" i="4"/>
  <c r="D1736" i="4"/>
  <c r="E1736" i="4"/>
  <c r="F1736" i="4"/>
  <c r="G1736" i="4"/>
  <c r="H1736" i="4"/>
  <c r="I1736" i="4"/>
  <c r="J1736" i="4"/>
  <c r="K1736" i="4"/>
  <c r="L1736" i="4"/>
  <c r="B1737" i="4"/>
  <c r="C1737" i="4"/>
  <c r="D1737" i="4"/>
  <c r="E1737" i="4"/>
  <c r="F1737" i="4"/>
  <c r="G1737" i="4"/>
  <c r="H1737" i="4"/>
  <c r="I1737" i="4"/>
  <c r="J1737" i="4"/>
  <c r="K1737" i="4"/>
  <c r="L1737" i="4"/>
  <c r="B1738" i="4"/>
  <c r="C1738" i="4"/>
  <c r="D1738" i="4"/>
  <c r="E1738" i="4"/>
  <c r="F1738" i="4"/>
  <c r="G1738" i="4"/>
  <c r="H1738" i="4"/>
  <c r="I1738" i="4"/>
  <c r="J1738" i="4"/>
  <c r="K1738" i="4"/>
  <c r="L1738" i="4"/>
  <c r="B1739" i="4"/>
  <c r="C1739" i="4"/>
  <c r="D1739" i="4"/>
  <c r="E1739" i="4"/>
  <c r="F1739" i="4"/>
  <c r="G1739" i="4"/>
  <c r="H1739" i="4"/>
  <c r="I1739" i="4"/>
  <c r="J1739" i="4"/>
  <c r="K1739" i="4"/>
  <c r="L1739" i="4"/>
  <c r="B1740" i="4"/>
  <c r="C1740" i="4"/>
  <c r="D1740" i="4"/>
  <c r="E1740" i="4"/>
  <c r="F1740" i="4"/>
  <c r="G1740" i="4"/>
  <c r="H1740" i="4"/>
  <c r="I1740" i="4"/>
  <c r="J1740" i="4"/>
  <c r="K1740" i="4"/>
  <c r="L1740" i="4"/>
  <c r="B1741" i="4"/>
  <c r="C1741" i="4"/>
  <c r="D1741" i="4"/>
  <c r="E1741" i="4"/>
  <c r="F1741" i="4"/>
  <c r="G1741" i="4"/>
  <c r="H1741" i="4"/>
  <c r="I1741" i="4"/>
  <c r="J1741" i="4"/>
  <c r="K1741" i="4"/>
  <c r="L1741" i="4"/>
  <c r="B1742" i="4"/>
  <c r="C1742" i="4"/>
  <c r="D1742" i="4"/>
  <c r="E1742" i="4"/>
  <c r="F1742" i="4"/>
  <c r="G1742" i="4"/>
  <c r="H1742" i="4"/>
  <c r="I1742" i="4"/>
  <c r="J1742" i="4"/>
  <c r="K1742" i="4"/>
  <c r="L1742" i="4"/>
  <c r="B1743" i="4"/>
  <c r="C1743" i="4"/>
  <c r="D1743" i="4"/>
  <c r="E1743" i="4"/>
  <c r="F1743" i="4"/>
  <c r="G1743" i="4"/>
  <c r="H1743" i="4"/>
  <c r="I1743" i="4"/>
  <c r="J1743" i="4"/>
  <c r="K1743" i="4"/>
  <c r="L1743" i="4"/>
  <c r="B1744" i="4"/>
  <c r="C1744" i="4"/>
  <c r="D1744" i="4"/>
  <c r="E1744" i="4"/>
  <c r="F1744" i="4"/>
  <c r="G1744" i="4"/>
  <c r="H1744" i="4"/>
  <c r="I1744" i="4"/>
  <c r="J1744" i="4"/>
  <c r="K1744" i="4"/>
  <c r="L1744" i="4"/>
  <c r="B1745" i="4"/>
  <c r="C1745" i="4"/>
  <c r="D1745" i="4"/>
  <c r="E1745" i="4"/>
  <c r="F1745" i="4"/>
  <c r="G1745" i="4"/>
  <c r="H1745" i="4"/>
  <c r="I1745" i="4"/>
  <c r="J1745" i="4"/>
  <c r="K1745" i="4"/>
  <c r="L1745" i="4"/>
  <c r="B1746" i="4"/>
  <c r="C1746" i="4"/>
  <c r="D1746" i="4"/>
  <c r="E1746" i="4"/>
  <c r="F1746" i="4"/>
  <c r="G1746" i="4"/>
  <c r="H1746" i="4"/>
  <c r="I1746" i="4"/>
  <c r="J1746" i="4"/>
  <c r="K1746" i="4"/>
  <c r="L1746" i="4"/>
  <c r="B1747" i="4"/>
  <c r="C1747" i="4"/>
  <c r="D1747" i="4"/>
  <c r="E1747" i="4"/>
  <c r="F1747" i="4"/>
  <c r="G1747" i="4"/>
  <c r="H1747" i="4"/>
  <c r="I1747" i="4"/>
  <c r="J1747" i="4"/>
  <c r="K1747" i="4"/>
  <c r="L1747" i="4"/>
  <c r="B1748" i="4"/>
  <c r="C1748" i="4"/>
  <c r="D1748" i="4"/>
  <c r="E1748" i="4"/>
  <c r="F1748" i="4"/>
  <c r="G1748" i="4"/>
  <c r="H1748" i="4"/>
  <c r="I1748" i="4"/>
  <c r="J1748" i="4"/>
  <c r="K1748" i="4"/>
  <c r="L1748" i="4"/>
  <c r="B1749" i="4"/>
  <c r="C1749" i="4"/>
  <c r="D1749" i="4"/>
  <c r="E1749" i="4"/>
  <c r="F1749" i="4"/>
  <c r="G1749" i="4"/>
  <c r="H1749" i="4"/>
  <c r="I1749" i="4"/>
  <c r="J1749" i="4"/>
  <c r="K1749" i="4"/>
  <c r="L1749" i="4"/>
  <c r="B1750" i="4"/>
  <c r="C1750" i="4"/>
  <c r="D1750" i="4"/>
  <c r="E1750" i="4"/>
  <c r="F1750" i="4"/>
  <c r="G1750" i="4"/>
  <c r="H1750" i="4"/>
  <c r="I1750" i="4"/>
  <c r="J1750" i="4"/>
  <c r="K1750" i="4"/>
  <c r="L1750" i="4"/>
  <c r="B1751" i="4"/>
  <c r="C1751" i="4"/>
  <c r="D1751" i="4"/>
  <c r="E1751" i="4"/>
  <c r="F1751" i="4"/>
  <c r="G1751" i="4"/>
  <c r="H1751" i="4"/>
  <c r="I1751" i="4"/>
  <c r="J1751" i="4"/>
  <c r="K1751" i="4"/>
  <c r="L1751" i="4"/>
  <c r="B1752" i="4"/>
  <c r="C1752" i="4"/>
  <c r="D1752" i="4"/>
  <c r="E1752" i="4"/>
  <c r="F1752" i="4"/>
  <c r="G1752" i="4"/>
  <c r="H1752" i="4"/>
  <c r="I1752" i="4"/>
  <c r="J1752" i="4"/>
  <c r="K1752" i="4"/>
  <c r="L1752" i="4"/>
  <c r="B1753" i="4"/>
  <c r="C1753" i="4"/>
  <c r="D1753" i="4"/>
  <c r="E1753" i="4"/>
  <c r="F1753" i="4"/>
  <c r="G1753" i="4"/>
  <c r="H1753" i="4"/>
  <c r="I1753" i="4"/>
  <c r="J1753" i="4"/>
  <c r="K1753" i="4"/>
  <c r="L1753" i="4"/>
  <c r="B1754" i="4"/>
  <c r="C1754" i="4"/>
  <c r="D1754" i="4"/>
  <c r="E1754" i="4"/>
  <c r="F1754" i="4"/>
  <c r="G1754" i="4"/>
  <c r="H1754" i="4"/>
  <c r="I1754" i="4"/>
  <c r="J1754" i="4"/>
  <c r="K1754" i="4"/>
  <c r="L1754" i="4"/>
  <c r="B1755" i="4"/>
  <c r="C1755" i="4"/>
  <c r="D1755" i="4"/>
  <c r="E1755" i="4"/>
  <c r="F1755" i="4"/>
  <c r="G1755" i="4"/>
  <c r="H1755" i="4"/>
  <c r="I1755" i="4"/>
  <c r="J1755" i="4"/>
  <c r="K1755" i="4"/>
  <c r="L1755" i="4"/>
  <c r="B1756" i="4"/>
  <c r="C1756" i="4"/>
  <c r="D1756" i="4"/>
  <c r="E1756" i="4"/>
  <c r="F1756" i="4"/>
  <c r="G1756" i="4"/>
  <c r="H1756" i="4"/>
  <c r="I1756" i="4"/>
  <c r="J1756" i="4"/>
  <c r="K1756" i="4"/>
  <c r="L1756" i="4"/>
  <c r="B1757" i="4"/>
  <c r="C1757" i="4"/>
  <c r="D1757" i="4"/>
  <c r="E1757" i="4"/>
  <c r="F1757" i="4"/>
  <c r="G1757" i="4"/>
  <c r="H1757" i="4"/>
  <c r="I1757" i="4"/>
  <c r="J1757" i="4"/>
  <c r="K1757" i="4"/>
  <c r="L1757" i="4"/>
  <c r="B1758" i="4"/>
  <c r="C1758" i="4"/>
  <c r="D1758" i="4"/>
  <c r="E1758" i="4"/>
  <c r="F1758" i="4"/>
  <c r="G1758" i="4"/>
  <c r="H1758" i="4"/>
  <c r="I1758" i="4"/>
  <c r="J1758" i="4"/>
  <c r="K1758" i="4"/>
  <c r="L1758" i="4"/>
  <c r="B1759" i="4"/>
  <c r="C1759" i="4"/>
  <c r="D1759" i="4"/>
  <c r="E1759" i="4"/>
  <c r="F1759" i="4"/>
  <c r="G1759" i="4"/>
  <c r="H1759" i="4"/>
  <c r="I1759" i="4"/>
  <c r="J1759" i="4"/>
  <c r="K1759" i="4"/>
  <c r="L1759" i="4"/>
  <c r="B1760" i="4"/>
  <c r="C1760" i="4"/>
  <c r="D1760" i="4"/>
  <c r="E1760" i="4"/>
  <c r="F1760" i="4"/>
  <c r="G1760" i="4"/>
  <c r="H1760" i="4"/>
  <c r="I1760" i="4"/>
  <c r="J1760" i="4"/>
  <c r="K1760" i="4"/>
  <c r="L1760" i="4"/>
  <c r="B1761" i="4"/>
  <c r="C1761" i="4"/>
  <c r="D1761" i="4"/>
  <c r="E1761" i="4"/>
  <c r="F1761" i="4"/>
  <c r="G1761" i="4"/>
  <c r="H1761" i="4"/>
  <c r="I1761" i="4"/>
  <c r="J1761" i="4"/>
  <c r="K1761" i="4"/>
  <c r="L1761" i="4"/>
  <c r="B1762" i="4"/>
  <c r="C1762" i="4"/>
  <c r="D1762" i="4"/>
  <c r="E1762" i="4"/>
  <c r="F1762" i="4"/>
  <c r="G1762" i="4"/>
  <c r="H1762" i="4"/>
  <c r="I1762" i="4"/>
  <c r="J1762" i="4"/>
  <c r="K1762" i="4"/>
  <c r="L1762" i="4"/>
  <c r="B1763" i="4"/>
  <c r="C1763" i="4"/>
  <c r="D1763" i="4"/>
  <c r="E1763" i="4"/>
  <c r="F1763" i="4"/>
  <c r="G1763" i="4"/>
  <c r="H1763" i="4"/>
  <c r="I1763" i="4"/>
  <c r="J1763" i="4"/>
  <c r="K1763" i="4"/>
  <c r="L1763" i="4"/>
  <c r="B1764" i="4"/>
  <c r="C1764" i="4"/>
  <c r="D1764" i="4"/>
  <c r="E1764" i="4"/>
  <c r="F1764" i="4"/>
  <c r="G1764" i="4"/>
  <c r="H1764" i="4"/>
  <c r="I1764" i="4"/>
  <c r="J1764" i="4"/>
  <c r="K1764" i="4"/>
  <c r="L1764" i="4"/>
  <c r="B1765" i="4"/>
  <c r="C1765" i="4"/>
  <c r="D1765" i="4"/>
  <c r="E1765" i="4"/>
  <c r="F1765" i="4"/>
  <c r="G1765" i="4"/>
  <c r="H1765" i="4"/>
  <c r="I1765" i="4"/>
  <c r="J1765" i="4"/>
  <c r="K1765" i="4"/>
  <c r="L1765" i="4"/>
  <c r="B1766" i="4"/>
  <c r="C1766" i="4"/>
  <c r="D1766" i="4"/>
  <c r="E1766" i="4"/>
  <c r="F1766" i="4"/>
  <c r="G1766" i="4"/>
  <c r="H1766" i="4"/>
  <c r="I1766" i="4"/>
  <c r="J1766" i="4"/>
  <c r="K1766" i="4"/>
  <c r="L1766" i="4"/>
  <c r="B1767" i="4"/>
  <c r="C1767" i="4"/>
  <c r="D1767" i="4"/>
  <c r="E1767" i="4"/>
  <c r="F1767" i="4"/>
  <c r="G1767" i="4"/>
  <c r="H1767" i="4"/>
  <c r="I1767" i="4"/>
  <c r="J1767" i="4"/>
  <c r="K1767" i="4"/>
  <c r="L1767" i="4"/>
  <c r="B1768" i="4"/>
  <c r="C1768" i="4"/>
  <c r="D1768" i="4"/>
  <c r="E1768" i="4"/>
  <c r="F1768" i="4"/>
  <c r="G1768" i="4"/>
  <c r="H1768" i="4"/>
  <c r="I1768" i="4"/>
  <c r="J1768" i="4"/>
  <c r="K1768" i="4"/>
  <c r="L1768" i="4"/>
  <c r="B1769" i="4"/>
  <c r="C1769" i="4"/>
  <c r="D1769" i="4"/>
  <c r="E1769" i="4"/>
  <c r="F1769" i="4"/>
  <c r="G1769" i="4"/>
  <c r="H1769" i="4"/>
  <c r="I1769" i="4"/>
  <c r="J1769" i="4"/>
  <c r="K1769" i="4"/>
  <c r="L1769" i="4"/>
  <c r="B1770" i="4"/>
  <c r="C1770" i="4"/>
  <c r="D1770" i="4"/>
  <c r="E1770" i="4"/>
  <c r="F1770" i="4"/>
  <c r="G1770" i="4"/>
  <c r="H1770" i="4"/>
  <c r="I1770" i="4"/>
  <c r="J1770" i="4"/>
  <c r="K1770" i="4"/>
  <c r="L1770" i="4"/>
  <c r="B1771" i="4"/>
  <c r="C1771" i="4"/>
  <c r="D1771" i="4"/>
  <c r="E1771" i="4"/>
  <c r="F1771" i="4"/>
  <c r="G1771" i="4"/>
  <c r="H1771" i="4"/>
  <c r="I1771" i="4"/>
  <c r="J1771" i="4"/>
  <c r="K1771" i="4"/>
  <c r="L1771" i="4"/>
  <c r="B1772" i="4"/>
  <c r="C1772" i="4"/>
  <c r="D1772" i="4"/>
  <c r="E1772" i="4"/>
  <c r="F1772" i="4"/>
  <c r="G1772" i="4"/>
  <c r="H1772" i="4"/>
  <c r="I1772" i="4"/>
  <c r="J1772" i="4"/>
  <c r="K1772" i="4"/>
  <c r="L1772" i="4"/>
  <c r="B1773" i="4"/>
  <c r="C1773" i="4"/>
  <c r="D1773" i="4"/>
  <c r="E1773" i="4"/>
  <c r="F1773" i="4"/>
  <c r="G1773" i="4"/>
  <c r="H1773" i="4"/>
  <c r="I1773" i="4"/>
  <c r="J1773" i="4"/>
  <c r="K1773" i="4"/>
  <c r="L1773" i="4"/>
  <c r="B1774" i="4"/>
  <c r="C1774" i="4"/>
  <c r="D1774" i="4"/>
  <c r="E1774" i="4"/>
  <c r="F1774" i="4"/>
  <c r="G1774" i="4"/>
  <c r="H1774" i="4"/>
  <c r="I1774" i="4"/>
  <c r="J1774" i="4"/>
  <c r="K1774" i="4"/>
  <c r="L1774" i="4"/>
  <c r="B1775" i="4"/>
  <c r="C1775" i="4"/>
  <c r="D1775" i="4"/>
  <c r="E1775" i="4"/>
  <c r="F1775" i="4"/>
  <c r="G1775" i="4"/>
  <c r="H1775" i="4"/>
  <c r="I1775" i="4"/>
  <c r="J1775" i="4"/>
  <c r="K1775" i="4"/>
  <c r="L1775" i="4"/>
  <c r="B1776" i="4"/>
  <c r="C1776" i="4"/>
  <c r="D1776" i="4"/>
  <c r="E1776" i="4"/>
  <c r="F1776" i="4"/>
  <c r="G1776" i="4"/>
  <c r="H1776" i="4"/>
  <c r="I1776" i="4"/>
  <c r="J1776" i="4"/>
  <c r="K1776" i="4"/>
  <c r="L1776" i="4"/>
  <c r="B1777" i="4"/>
  <c r="C1777" i="4"/>
  <c r="D1777" i="4"/>
  <c r="E1777" i="4"/>
  <c r="F1777" i="4"/>
  <c r="G1777" i="4"/>
  <c r="H1777" i="4"/>
  <c r="I1777" i="4"/>
  <c r="J1777" i="4"/>
  <c r="K1777" i="4"/>
  <c r="L1777" i="4"/>
  <c r="B1778" i="4"/>
  <c r="C1778" i="4"/>
  <c r="D1778" i="4"/>
  <c r="E1778" i="4"/>
  <c r="F1778" i="4"/>
  <c r="G1778" i="4"/>
  <c r="H1778" i="4"/>
  <c r="I1778" i="4"/>
  <c r="J1778" i="4"/>
  <c r="K1778" i="4"/>
  <c r="L1778" i="4"/>
  <c r="B1779" i="4"/>
  <c r="C1779" i="4"/>
  <c r="D1779" i="4"/>
  <c r="E1779" i="4"/>
  <c r="F1779" i="4"/>
  <c r="G1779" i="4"/>
  <c r="H1779" i="4"/>
  <c r="I1779" i="4"/>
  <c r="J1779" i="4"/>
  <c r="K1779" i="4"/>
  <c r="L1779" i="4"/>
  <c r="B1780" i="4"/>
  <c r="C1780" i="4"/>
  <c r="D1780" i="4"/>
  <c r="E1780" i="4"/>
  <c r="F1780" i="4"/>
  <c r="G1780" i="4"/>
  <c r="H1780" i="4"/>
  <c r="I1780" i="4"/>
  <c r="J1780" i="4"/>
  <c r="K1780" i="4"/>
  <c r="L1780" i="4"/>
  <c r="B1781" i="4"/>
  <c r="C1781" i="4"/>
  <c r="D1781" i="4"/>
  <c r="E1781" i="4"/>
  <c r="F1781" i="4"/>
  <c r="G1781" i="4"/>
  <c r="H1781" i="4"/>
  <c r="I1781" i="4"/>
  <c r="J1781" i="4"/>
  <c r="K1781" i="4"/>
  <c r="L1781" i="4"/>
  <c r="B1782" i="4"/>
  <c r="C1782" i="4"/>
  <c r="D1782" i="4"/>
  <c r="E1782" i="4"/>
  <c r="F1782" i="4"/>
  <c r="G1782" i="4"/>
  <c r="H1782" i="4"/>
  <c r="I1782" i="4"/>
  <c r="J1782" i="4"/>
  <c r="K1782" i="4"/>
  <c r="L1782" i="4"/>
  <c r="B1783" i="4"/>
  <c r="C1783" i="4"/>
  <c r="D1783" i="4"/>
  <c r="E1783" i="4"/>
  <c r="F1783" i="4"/>
  <c r="G1783" i="4"/>
  <c r="H1783" i="4"/>
  <c r="I1783" i="4"/>
  <c r="J1783" i="4"/>
  <c r="K1783" i="4"/>
  <c r="L1783" i="4"/>
  <c r="B1784" i="4"/>
  <c r="C1784" i="4"/>
  <c r="D1784" i="4"/>
  <c r="E1784" i="4"/>
  <c r="F1784" i="4"/>
  <c r="G1784" i="4"/>
  <c r="H1784" i="4"/>
  <c r="I1784" i="4"/>
  <c r="J1784" i="4"/>
  <c r="K1784" i="4"/>
  <c r="L1784" i="4"/>
  <c r="B1785" i="4"/>
  <c r="C1785" i="4"/>
  <c r="D1785" i="4"/>
  <c r="E1785" i="4"/>
  <c r="F1785" i="4"/>
  <c r="G1785" i="4"/>
  <c r="H1785" i="4"/>
  <c r="I1785" i="4"/>
  <c r="J1785" i="4"/>
  <c r="K1785" i="4"/>
  <c r="L1785" i="4"/>
  <c r="B1786" i="4"/>
  <c r="C1786" i="4"/>
  <c r="D1786" i="4"/>
  <c r="E1786" i="4"/>
  <c r="F1786" i="4"/>
  <c r="G1786" i="4"/>
  <c r="H1786" i="4"/>
  <c r="I1786" i="4"/>
  <c r="J1786" i="4"/>
  <c r="K1786" i="4"/>
  <c r="L1786" i="4"/>
  <c r="B1787" i="4"/>
  <c r="C1787" i="4"/>
  <c r="D1787" i="4"/>
  <c r="E1787" i="4"/>
  <c r="F1787" i="4"/>
  <c r="G1787" i="4"/>
  <c r="H1787" i="4"/>
  <c r="I1787" i="4"/>
  <c r="J1787" i="4"/>
  <c r="K1787" i="4"/>
  <c r="L1787" i="4"/>
  <c r="B1788" i="4"/>
  <c r="C1788" i="4"/>
  <c r="D1788" i="4"/>
  <c r="E1788" i="4"/>
  <c r="F1788" i="4"/>
  <c r="G1788" i="4"/>
  <c r="H1788" i="4"/>
  <c r="I1788" i="4"/>
  <c r="J1788" i="4"/>
  <c r="K1788" i="4"/>
  <c r="L1788" i="4"/>
  <c r="B1789" i="4"/>
  <c r="C1789" i="4"/>
  <c r="D1789" i="4"/>
  <c r="E1789" i="4"/>
  <c r="F1789" i="4"/>
  <c r="G1789" i="4"/>
  <c r="H1789" i="4"/>
  <c r="I1789" i="4"/>
  <c r="J1789" i="4"/>
  <c r="K1789" i="4"/>
  <c r="L1789" i="4"/>
  <c r="B1790" i="4"/>
  <c r="C1790" i="4"/>
  <c r="D1790" i="4"/>
  <c r="E1790" i="4"/>
  <c r="F1790" i="4"/>
  <c r="G1790" i="4"/>
  <c r="H1790" i="4"/>
  <c r="I1790" i="4"/>
  <c r="J1790" i="4"/>
  <c r="K1790" i="4"/>
  <c r="L1790" i="4"/>
  <c r="B1791" i="4"/>
  <c r="C1791" i="4"/>
  <c r="D1791" i="4"/>
  <c r="E1791" i="4"/>
  <c r="F1791" i="4"/>
  <c r="G1791" i="4"/>
  <c r="H1791" i="4"/>
  <c r="I1791" i="4"/>
  <c r="J1791" i="4"/>
  <c r="K1791" i="4"/>
  <c r="L1791" i="4"/>
  <c r="B1792" i="4"/>
  <c r="C1792" i="4"/>
  <c r="D1792" i="4"/>
  <c r="E1792" i="4"/>
  <c r="F1792" i="4"/>
  <c r="G1792" i="4"/>
  <c r="H1792" i="4"/>
  <c r="I1792" i="4"/>
  <c r="J1792" i="4"/>
  <c r="K1792" i="4"/>
  <c r="L1792" i="4"/>
  <c r="B1793" i="4"/>
  <c r="C1793" i="4"/>
  <c r="D1793" i="4"/>
  <c r="E1793" i="4"/>
  <c r="F1793" i="4"/>
  <c r="G1793" i="4"/>
  <c r="H1793" i="4"/>
  <c r="I1793" i="4"/>
  <c r="J1793" i="4"/>
  <c r="K1793" i="4"/>
  <c r="L1793" i="4"/>
  <c r="B1794" i="4"/>
  <c r="C1794" i="4"/>
  <c r="D1794" i="4"/>
  <c r="E1794" i="4"/>
  <c r="F1794" i="4"/>
  <c r="G1794" i="4"/>
  <c r="H1794" i="4"/>
  <c r="I1794" i="4"/>
  <c r="J1794" i="4"/>
  <c r="K1794" i="4"/>
  <c r="L1794" i="4"/>
  <c r="B1795" i="4"/>
  <c r="C1795" i="4"/>
  <c r="D1795" i="4"/>
  <c r="E1795" i="4"/>
  <c r="F1795" i="4"/>
  <c r="G1795" i="4"/>
  <c r="H1795" i="4"/>
  <c r="I1795" i="4"/>
  <c r="J1795" i="4"/>
  <c r="K1795" i="4"/>
  <c r="L1795" i="4"/>
  <c r="B1796" i="4"/>
  <c r="C1796" i="4"/>
  <c r="D1796" i="4"/>
  <c r="E1796" i="4"/>
  <c r="F1796" i="4"/>
  <c r="G1796" i="4"/>
  <c r="H1796" i="4"/>
  <c r="I1796" i="4"/>
  <c r="J1796" i="4"/>
  <c r="K1796" i="4"/>
  <c r="L1796" i="4"/>
  <c r="B1797" i="4"/>
  <c r="C1797" i="4"/>
  <c r="D1797" i="4"/>
  <c r="E1797" i="4"/>
  <c r="F1797" i="4"/>
  <c r="G1797" i="4"/>
  <c r="H1797" i="4"/>
  <c r="I1797" i="4"/>
  <c r="J1797" i="4"/>
  <c r="K1797" i="4"/>
  <c r="L1797" i="4"/>
  <c r="B1798" i="4"/>
  <c r="C1798" i="4"/>
  <c r="D1798" i="4"/>
  <c r="E1798" i="4"/>
  <c r="F1798" i="4"/>
  <c r="G1798" i="4"/>
  <c r="H1798" i="4"/>
  <c r="I1798" i="4"/>
  <c r="J1798" i="4"/>
  <c r="K1798" i="4"/>
  <c r="L1798" i="4"/>
  <c r="B1799" i="4"/>
  <c r="C1799" i="4"/>
  <c r="D1799" i="4"/>
  <c r="E1799" i="4"/>
  <c r="F1799" i="4"/>
  <c r="G1799" i="4"/>
  <c r="H1799" i="4"/>
  <c r="I1799" i="4"/>
  <c r="J1799" i="4"/>
  <c r="K1799" i="4"/>
  <c r="L1799" i="4"/>
  <c r="B1800" i="4"/>
  <c r="C1800" i="4"/>
  <c r="D1800" i="4"/>
  <c r="E1800" i="4"/>
  <c r="F1800" i="4"/>
  <c r="G1800" i="4"/>
  <c r="H1800" i="4"/>
  <c r="I1800" i="4"/>
  <c r="J1800" i="4"/>
  <c r="K1800" i="4"/>
  <c r="L1800" i="4"/>
  <c r="B1801" i="4"/>
  <c r="C1801" i="4"/>
  <c r="D1801" i="4"/>
  <c r="E1801" i="4"/>
  <c r="F1801" i="4"/>
  <c r="G1801" i="4"/>
  <c r="H1801" i="4"/>
  <c r="I1801" i="4"/>
  <c r="J1801" i="4"/>
  <c r="K1801" i="4"/>
  <c r="L1801" i="4"/>
  <c r="B1802" i="4"/>
  <c r="C1802" i="4"/>
  <c r="D1802" i="4"/>
  <c r="E1802" i="4"/>
  <c r="F1802" i="4"/>
  <c r="G1802" i="4"/>
  <c r="H1802" i="4"/>
  <c r="I1802" i="4"/>
  <c r="J1802" i="4"/>
  <c r="K1802" i="4"/>
  <c r="L1802" i="4"/>
  <c r="B1803" i="4"/>
  <c r="C1803" i="4"/>
  <c r="D1803" i="4"/>
  <c r="E1803" i="4"/>
  <c r="F1803" i="4"/>
  <c r="G1803" i="4"/>
  <c r="H1803" i="4"/>
  <c r="I1803" i="4"/>
  <c r="J1803" i="4"/>
  <c r="K1803" i="4"/>
  <c r="L1803" i="4"/>
  <c r="B1804" i="4"/>
  <c r="C1804" i="4"/>
  <c r="D1804" i="4"/>
  <c r="E1804" i="4"/>
  <c r="F1804" i="4"/>
  <c r="G1804" i="4"/>
  <c r="H1804" i="4"/>
  <c r="I1804" i="4"/>
  <c r="J1804" i="4"/>
  <c r="K1804" i="4"/>
  <c r="L1804" i="4"/>
  <c r="B1805" i="4"/>
  <c r="C1805" i="4"/>
  <c r="D1805" i="4"/>
  <c r="E1805" i="4"/>
  <c r="F1805" i="4"/>
  <c r="G1805" i="4"/>
  <c r="H1805" i="4"/>
  <c r="I1805" i="4"/>
  <c r="J1805" i="4"/>
  <c r="K1805" i="4"/>
  <c r="L1805" i="4"/>
  <c r="B1806" i="4"/>
  <c r="C1806" i="4"/>
  <c r="D1806" i="4"/>
  <c r="E1806" i="4"/>
  <c r="F1806" i="4"/>
  <c r="G1806" i="4"/>
  <c r="H1806" i="4"/>
  <c r="I1806" i="4"/>
  <c r="J1806" i="4"/>
  <c r="K1806" i="4"/>
  <c r="L1806" i="4"/>
  <c r="B1807" i="4"/>
  <c r="C1807" i="4"/>
  <c r="D1807" i="4"/>
  <c r="E1807" i="4"/>
  <c r="F1807" i="4"/>
  <c r="G1807" i="4"/>
  <c r="H1807" i="4"/>
  <c r="I1807" i="4"/>
  <c r="J1807" i="4"/>
  <c r="K1807" i="4"/>
  <c r="L1807" i="4"/>
  <c r="B1808" i="4"/>
  <c r="C1808" i="4"/>
  <c r="D1808" i="4"/>
  <c r="E1808" i="4"/>
  <c r="F1808" i="4"/>
  <c r="G1808" i="4"/>
  <c r="H1808" i="4"/>
  <c r="I1808" i="4"/>
  <c r="J1808" i="4"/>
  <c r="K1808" i="4"/>
  <c r="L1808" i="4"/>
  <c r="B1809" i="4"/>
  <c r="C1809" i="4"/>
  <c r="D1809" i="4"/>
  <c r="E1809" i="4"/>
  <c r="F1809" i="4"/>
  <c r="G1809" i="4"/>
  <c r="H1809" i="4"/>
  <c r="I1809" i="4"/>
  <c r="J1809" i="4"/>
  <c r="K1809" i="4"/>
  <c r="L1809" i="4"/>
  <c r="B1810" i="4"/>
  <c r="C1810" i="4"/>
  <c r="D1810" i="4"/>
  <c r="E1810" i="4"/>
  <c r="F1810" i="4"/>
  <c r="G1810" i="4"/>
  <c r="H1810" i="4"/>
  <c r="I1810" i="4"/>
  <c r="J1810" i="4"/>
  <c r="K1810" i="4"/>
  <c r="L1810" i="4"/>
  <c r="B1811" i="4"/>
  <c r="C1811" i="4"/>
  <c r="D1811" i="4"/>
  <c r="E1811" i="4"/>
  <c r="F1811" i="4"/>
  <c r="G1811" i="4"/>
  <c r="H1811" i="4"/>
  <c r="I1811" i="4"/>
  <c r="J1811" i="4"/>
  <c r="K1811" i="4"/>
  <c r="L1811" i="4"/>
  <c r="B1812" i="4"/>
  <c r="C1812" i="4"/>
  <c r="D1812" i="4"/>
  <c r="E1812" i="4"/>
  <c r="F1812" i="4"/>
  <c r="G1812" i="4"/>
  <c r="H1812" i="4"/>
  <c r="I1812" i="4"/>
  <c r="J1812" i="4"/>
  <c r="K1812" i="4"/>
  <c r="L1812" i="4"/>
  <c r="B1813" i="4"/>
  <c r="C1813" i="4"/>
  <c r="D1813" i="4"/>
  <c r="E1813" i="4"/>
  <c r="F1813" i="4"/>
  <c r="G1813" i="4"/>
  <c r="H1813" i="4"/>
  <c r="I1813" i="4"/>
  <c r="J1813" i="4"/>
  <c r="K1813" i="4"/>
  <c r="L1813" i="4"/>
  <c r="B1814" i="4"/>
  <c r="C1814" i="4"/>
  <c r="D1814" i="4"/>
  <c r="E1814" i="4"/>
  <c r="F1814" i="4"/>
  <c r="G1814" i="4"/>
  <c r="H1814" i="4"/>
  <c r="I1814" i="4"/>
  <c r="J1814" i="4"/>
  <c r="K1814" i="4"/>
  <c r="L1814" i="4"/>
  <c r="B1815" i="4"/>
  <c r="C1815" i="4"/>
  <c r="D1815" i="4"/>
  <c r="E1815" i="4"/>
  <c r="F1815" i="4"/>
  <c r="G1815" i="4"/>
  <c r="H1815" i="4"/>
  <c r="I1815" i="4"/>
  <c r="J1815" i="4"/>
  <c r="K1815" i="4"/>
  <c r="L1815" i="4"/>
  <c r="B1816" i="4"/>
  <c r="C1816" i="4"/>
  <c r="D1816" i="4"/>
  <c r="E1816" i="4"/>
  <c r="F1816" i="4"/>
  <c r="G1816" i="4"/>
  <c r="H1816" i="4"/>
  <c r="I1816" i="4"/>
  <c r="J1816" i="4"/>
  <c r="K1816" i="4"/>
  <c r="L1816" i="4"/>
  <c r="B1817" i="4"/>
  <c r="C1817" i="4"/>
  <c r="D1817" i="4"/>
  <c r="E1817" i="4"/>
  <c r="F1817" i="4"/>
  <c r="G1817" i="4"/>
  <c r="H1817" i="4"/>
  <c r="I1817" i="4"/>
  <c r="J1817" i="4"/>
  <c r="K1817" i="4"/>
  <c r="L1817" i="4"/>
  <c r="B1818" i="4"/>
  <c r="C1818" i="4"/>
  <c r="D1818" i="4"/>
  <c r="E1818" i="4"/>
  <c r="F1818" i="4"/>
  <c r="G1818" i="4"/>
  <c r="H1818" i="4"/>
  <c r="I1818" i="4"/>
  <c r="J1818" i="4"/>
  <c r="K1818" i="4"/>
  <c r="L1818" i="4"/>
  <c r="B1819" i="4"/>
  <c r="C1819" i="4"/>
  <c r="D1819" i="4"/>
  <c r="E1819" i="4"/>
  <c r="F1819" i="4"/>
  <c r="G1819" i="4"/>
  <c r="H1819" i="4"/>
  <c r="I1819" i="4"/>
  <c r="J1819" i="4"/>
  <c r="K1819" i="4"/>
  <c r="L1819" i="4"/>
  <c r="B1820" i="4"/>
  <c r="C1820" i="4"/>
  <c r="D1820" i="4"/>
  <c r="E1820" i="4"/>
  <c r="F1820" i="4"/>
  <c r="G1820" i="4"/>
  <c r="H1820" i="4"/>
  <c r="I1820" i="4"/>
  <c r="J1820" i="4"/>
  <c r="K1820" i="4"/>
  <c r="L1820" i="4"/>
  <c r="B1821" i="4"/>
  <c r="C1821" i="4"/>
  <c r="D1821" i="4"/>
  <c r="E1821" i="4"/>
  <c r="F1821" i="4"/>
  <c r="G1821" i="4"/>
  <c r="H1821" i="4"/>
  <c r="I1821" i="4"/>
  <c r="J1821" i="4"/>
  <c r="K1821" i="4"/>
  <c r="L1821" i="4"/>
  <c r="B1822" i="4"/>
  <c r="C1822" i="4"/>
  <c r="D1822" i="4"/>
  <c r="E1822" i="4"/>
  <c r="F1822" i="4"/>
  <c r="G1822" i="4"/>
  <c r="H1822" i="4"/>
  <c r="I1822" i="4"/>
  <c r="J1822" i="4"/>
  <c r="K1822" i="4"/>
  <c r="L1822" i="4"/>
  <c r="B1823" i="4"/>
  <c r="C1823" i="4"/>
  <c r="D1823" i="4"/>
  <c r="E1823" i="4"/>
  <c r="F1823" i="4"/>
  <c r="G1823" i="4"/>
  <c r="H1823" i="4"/>
  <c r="I1823" i="4"/>
  <c r="J1823" i="4"/>
  <c r="K1823" i="4"/>
  <c r="L1823" i="4"/>
  <c r="B1824" i="4"/>
  <c r="C1824" i="4"/>
  <c r="D1824" i="4"/>
  <c r="E1824" i="4"/>
  <c r="F1824" i="4"/>
  <c r="G1824" i="4"/>
  <c r="H1824" i="4"/>
  <c r="I1824" i="4"/>
  <c r="J1824" i="4"/>
  <c r="K1824" i="4"/>
  <c r="L1824" i="4"/>
  <c r="B1825" i="4"/>
  <c r="C1825" i="4"/>
  <c r="D1825" i="4"/>
  <c r="E1825" i="4"/>
  <c r="F1825" i="4"/>
  <c r="G1825" i="4"/>
  <c r="H1825" i="4"/>
  <c r="I1825" i="4"/>
  <c r="J1825" i="4"/>
  <c r="K1825" i="4"/>
  <c r="L1825" i="4"/>
  <c r="B1826" i="4"/>
  <c r="C1826" i="4"/>
  <c r="D1826" i="4"/>
  <c r="E1826" i="4"/>
  <c r="F1826" i="4"/>
  <c r="G1826" i="4"/>
  <c r="H1826" i="4"/>
  <c r="I1826" i="4"/>
  <c r="J1826" i="4"/>
  <c r="K1826" i="4"/>
  <c r="L1826" i="4"/>
  <c r="B1827" i="4"/>
  <c r="C1827" i="4"/>
  <c r="D1827" i="4"/>
  <c r="E1827" i="4"/>
  <c r="F1827" i="4"/>
  <c r="G1827" i="4"/>
  <c r="H1827" i="4"/>
  <c r="I1827" i="4"/>
  <c r="J1827" i="4"/>
  <c r="K1827" i="4"/>
  <c r="L1827" i="4"/>
  <c r="B1828" i="4"/>
  <c r="C1828" i="4"/>
  <c r="D1828" i="4"/>
  <c r="E1828" i="4"/>
  <c r="F1828" i="4"/>
  <c r="G1828" i="4"/>
  <c r="H1828" i="4"/>
  <c r="I1828" i="4"/>
  <c r="J1828" i="4"/>
  <c r="K1828" i="4"/>
  <c r="L1828" i="4"/>
  <c r="B1829" i="4"/>
  <c r="C1829" i="4"/>
  <c r="D1829" i="4"/>
  <c r="E1829" i="4"/>
  <c r="F1829" i="4"/>
  <c r="G1829" i="4"/>
  <c r="H1829" i="4"/>
  <c r="I1829" i="4"/>
  <c r="J1829" i="4"/>
  <c r="K1829" i="4"/>
  <c r="L1829" i="4"/>
  <c r="B1830" i="4"/>
  <c r="C1830" i="4"/>
  <c r="D1830" i="4"/>
  <c r="E1830" i="4"/>
  <c r="F1830" i="4"/>
  <c r="G1830" i="4"/>
  <c r="H1830" i="4"/>
  <c r="I1830" i="4"/>
  <c r="J1830" i="4"/>
  <c r="K1830" i="4"/>
  <c r="L1830" i="4"/>
  <c r="B1831" i="4"/>
  <c r="C1831" i="4"/>
  <c r="D1831" i="4"/>
  <c r="E1831" i="4"/>
  <c r="F1831" i="4"/>
  <c r="G1831" i="4"/>
  <c r="H1831" i="4"/>
  <c r="I1831" i="4"/>
  <c r="J1831" i="4"/>
  <c r="K1831" i="4"/>
  <c r="L1831" i="4"/>
  <c r="B1832" i="4"/>
  <c r="C1832" i="4"/>
  <c r="D1832" i="4"/>
  <c r="E1832" i="4"/>
  <c r="F1832" i="4"/>
  <c r="G1832" i="4"/>
  <c r="H1832" i="4"/>
  <c r="I1832" i="4"/>
  <c r="J1832" i="4"/>
  <c r="K1832" i="4"/>
  <c r="L1832" i="4"/>
  <c r="B1833" i="4"/>
  <c r="C1833" i="4"/>
  <c r="D1833" i="4"/>
  <c r="E1833" i="4"/>
  <c r="F1833" i="4"/>
  <c r="G1833" i="4"/>
  <c r="H1833" i="4"/>
  <c r="I1833" i="4"/>
  <c r="J1833" i="4"/>
  <c r="K1833" i="4"/>
  <c r="L1833" i="4"/>
  <c r="B1834" i="4"/>
  <c r="C1834" i="4"/>
  <c r="D1834" i="4"/>
  <c r="E1834" i="4"/>
  <c r="F1834" i="4"/>
  <c r="G1834" i="4"/>
  <c r="H1834" i="4"/>
  <c r="I1834" i="4"/>
  <c r="J1834" i="4"/>
  <c r="K1834" i="4"/>
  <c r="L1834" i="4"/>
  <c r="B1835" i="4"/>
  <c r="C1835" i="4"/>
  <c r="D1835" i="4"/>
  <c r="E1835" i="4"/>
  <c r="F1835" i="4"/>
  <c r="G1835" i="4"/>
  <c r="H1835" i="4"/>
  <c r="I1835" i="4"/>
  <c r="J1835" i="4"/>
  <c r="K1835" i="4"/>
  <c r="L1835" i="4"/>
  <c r="B1836" i="4"/>
  <c r="C1836" i="4"/>
  <c r="D1836" i="4"/>
  <c r="E1836" i="4"/>
  <c r="F1836" i="4"/>
  <c r="G1836" i="4"/>
  <c r="H1836" i="4"/>
  <c r="I1836" i="4"/>
  <c r="J1836" i="4"/>
  <c r="K1836" i="4"/>
  <c r="L1836" i="4"/>
  <c r="B1837" i="4"/>
  <c r="C1837" i="4"/>
  <c r="D1837" i="4"/>
  <c r="E1837" i="4"/>
  <c r="F1837" i="4"/>
  <c r="G1837" i="4"/>
  <c r="H1837" i="4"/>
  <c r="I1837" i="4"/>
  <c r="J1837" i="4"/>
  <c r="K1837" i="4"/>
  <c r="L1837" i="4"/>
  <c r="B1838" i="4"/>
  <c r="C1838" i="4"/>
  <c r="D1838" i="4"/>
  <c r="E1838" i="4"/>
  <c r="F1838" i="4"/>
  <c r="G1838" i="4"/>
  <c r="H1838" i="4"/>
  <c r="I1838" i="4"/>
  <c r="J1838" i="4"/>
  <c r="K1838" i="4"/>
  <c r="L1838" i="4"/>
  <c r="B1839" i="4"/>
  <c r="C1839" i="4"/>
  <c r="D1839" i="4"/>
  <c r="E1839" i="4"/>
  <c r="F1839" i="4"/>
  <c r="G1839" i="4"/>
  <c r="H1839" i="4"/>
  <c r="I1839" i="4"/>
  <c r="J1839" i="4"/>
  <c r="K1839" i="4"/>
  <c r="L1839" i="4"/>
  <c r="C2" i="4"/>
  <c r="D2" i="4"/>
  <c r="F2" i="4"/>
  <c r="H2" i="4"/>
  <c r="I2" i="4"/>
  <c r="J2" i="4"/>
  <c r="K2" i="4"/>
  <c r="L2" i="4"/>
  <c r="B2" i="4"/>
  <c r="A2" i="4"/>
  <c r="E576" i="1" l="1"/>
  <c r="G576" i="1" s="1"/>
  <c r="G571" i="4" s="1"/>
  <c r="H576" i="1"/>
  <c r="H571" i="4" s="1"/>
  <c r="K576" i="1"/>
  <c r="K571" i="4" s="1"/>
  <c r="L576" i="1"/>
  <c r="L571" i="4" s="1"/>
  <c r="J577" i="1" l="1"/>
  <c r="J572" i="4" s="1"/>
  <c r="I577" i="1"/>
  <c r="I572" i="4" s="1"/>
  <c r="E571" i="4"/>
  <c r="E575" i="1"/>
  <c r="H575" i="1"/>
  <c r="H570" i="4" s="1"/>
  <c r="K575" i="1"/>
  <c r="K570" i="4" s="1"/>
  <c r="L575" i="1"/>
  <c r="L570" i="4" s="1"/>
  <c r="G575" i="1" l="1"/>
  <c r="G570" i="4" s="1"/>
  <c r="E570" i="4"/>
  <c r="J576" i="1"/>
  <c r="J571" i="4" s="1"/>
  <c r="I576" i="1"/>
  <c r="I571" i="4" s="1"/>
  <c r="E574" i="1"/>
  <c r="I575" i="1" s="1"/>
  <c r="I570" i="4" s="1"/>
  <c r="H574" i="1"/>
  <c r="H569" i="4" s="1"/>
  <c r="K574" i="1"/>
  <c r="K569" i="4" s="1"/>
  <c r="L574" i="1"/>
  <c r="L569" i="4" s="1"/>
  <c r="J575" i="1" l="1"/>
  <c r="J570" i="4" s="1"/>
  <c r="E569" i="4"/>
  <c r="G574" i="1"/>
  <c r="G569" i="4" s="1"/>
  <c r="E573" i="1"/>
  <c r="H573" i="1"/>
  <c r="H568" i="4" s="1"/>
  <c r="K573" i="1"/>
  <c r="K568" i="4" s="1"/>
  <c r="L573" i="1"/>
  <c r="L568" i="4" s="1"/>
  <c r="E568" i="4" l="1"/>
  <c r="I574" i="1"/>
  <c r="I569" i="4" s="1"/>
  <c r="J574" i="1"/>
  <c r="J569" i="4" s="1"/>
  <c r="G573" i="1"/>
  <c r="G568" i="4" s="1"/>
  <c r="E572" i="1"/>
  <c r="H572" i="1"/>
  <c r="H567" i="4" s="1"/>
  <c r="K572" i="1"/>
  <c r="K567" i="4" s="1"/>
  <c r="L572" i="1"/>
  <c r="L567" i="4" s="1"/>
  <c r="G572" i="1" l="1"/>
  <c r="G567" i="4" s="1"/>
  <c r="E567" i="4"/>
  <c r="J573" i="1"/>
  <c r="J568" i="4" s="1"/>
  <c r="I573" i="1"/>
  <c r="I568" i="4" s="1"/>
  <c r="E571" i="1"/>
  <c r="J572" i="1" s="1"/>
  <c r="J567" i="4" s="1"/>
  <c r="H571" i="1"/>
  <c r="H566" i="4" s="1"/>
  <c r="K571" i="1"/>
  <c r="K566" i="4" s="1"/>
  <c r="L571" i="1"/>
  <c r="L566" i="4" s="1"/>
  <c r="E566" i="4" l="1"/>
  <c r="I572" i="1"/>
  <c r="I567" i="4" s="1"/>
  <c r="G571" i="1"/>
  <c r="G566" i="4" s="1"/>
  <c r="E570" i="1"/>
  <c r="G570" i="1" s="1"/>
  <c r="G565" i="4" s="1"/>
  <c r="H570" i="1"/>
  <c r="H565" i="4" s="1"/>
  <c r="K570" i="1"/>
  <c r="K565" i="4" s="1"/>
  <c r="L570" i="1"/>
  <c r="L565" i="4" s="1"/>
  <c r="E565" i="4" l="1"/>
  <c r="J571" i="1"/>
  <c r="J566" i="4" s="1"/>
  <c r="I571" i="1"/>
  <c r="I566" i="4" s="1"/>
  <c r="E569" i="1"/>
  <c r="E564" i="4" s="1"/>
  <c r="H569" i="1"/>
  <c r="H564" i="4" s="1"/>
  <c r="K569" i="1"/>
  <c r="K564" i="4" s="1"/>
  <c r="L569" i="1"/>
  <c r="L564" i="4" s="1"/>
  <c r="J570" i="1" l="1"/>
  <c r="J565" i="4" s="1"/>
  <c r="I570" i="1"/>
  <c r="I565" i="4" s="1"/>
  <c r="G569" i="1"/>
  <c r="G564" i="4" s="1"/>
  <c r="E568" i="1"/>
  <c r="J569" i="1" s="1"/>
  <c r="J564" i="4" s="1"/>
  <c r="H568" i="1"/>
  <c r="H563" i="4" s="1"/>
  <c r="K568" i="1"/>
  <c r="K563" i="4" s="1"/>
  <c r="L568" i="1"/>
  <c r="L563" i="4" s="1"/>
  <c r="E563" i="4" l="1"/>
  <c r="I569" i="1"/>
  <c r="I564" i="4" s="1"/>
  <c r="G568" i="1"/>
  <c r="G563" i="4" s="1"/>
  <c r="E567" i="1"/>
  <c r="J568" i="1" s="1"/>
  <c r="J563" i="4" s="1"/>
  <c r="H567" i="1"/>
  <c r="H562" i="4" s="1"/>
  <c r="K567" i="1"/>
  <c r="K562" i="4" s="1"/>
  <c r="L567" i="1"/>
  <c r="L562" i="4" s="1"/>
  <c r="E562" i="4" l="1"/>
  <c r="I568" i="1"/>
  <c r="I563" i="4" s="1"/>
  <c r="G567" i="1"/>
  <c r="G562" i="4" s="1"/>
  <c r="E566" i="1"/>
  <c r="H566" i="1"/>
  <c r="H561" i="4" s="1"/>
  <c r="K566" i="1"/>
  <c r="K561" i="4" s="1"/>
  <c r="L566" i="1"/>
  <c r="L561" i="4" s="1"/>
  <c r="E561" i="4" l="1"/>
  <c r="I567" i="1"/>
  <c r="I562" i="4" s="1"/>
  <c r="J567" i="1"/>
  <c r="J562" i="4" s="1"/>
  <c r="G566" i="1"/>
  <c r="G561" i="4" s="1"/>
  <c r="E565" i="1"/>
  <c r="H565" i="1"/>
  <c r="H560" i="4" s="1"/>
  <c r="K565" i="1"/>
  <c r="K560" i="4" s="1"/>
  <c r="L565" i="1"/>
  <c r="L560" i="4" s="1"/>
  <c r="E560" i="4" l="1"/>
  <c r="G565" i="1"/>
  <c r="G560" i="4" s="1"/>
  <c r="J566" i="1"/>
  <c r="J561" i="4" s="1"/>
  <c r="I566" i="1"/>
  <c r="I561" i="4" s="1"/>
  <c r="E564" i="1"/>
  <c r="J565" i="1" s="1"/>
  <c r="J560" i="4" s="1"/>
  <c r="H564" i="1"/>
  <c r="H559" i="4" s="1"/>
  <c r="K564" i="1"/>
  <c r="K559" i="4" s="1"/>
  <c r="L564" i="1"/>
  <c r="L559" i="4" s="1"/>
  <c r="E559" i="4" l="1"/>
  <c r="I565" i="1"/>
  <c r="I560" i="4" s="1"/>
  <c r="G564" i="1"/>
  <c r="G559" i="4" s="1"/>
  <c r="E563" i="1"/>
  <c r="E558" i="4" s="1"/>
  <c r="H563" i="1"/>
  <c r="H558" i="4" s="1"/>
  <c r="K563" i="1"/>
  <c r="K558" i="4" s="1"/>
  <c r="L563" i="1"/>
  <c r="L558" i="4" s="1"/>
  <c r="G563" i="1" l="1"/>
  <c r="G558" i="4" s="1"/>
  <c r="J564" i="1"/>
  <c r="J559" i="4" s="1"/>
  <c r="I564" i="1"/>
  <c r="I559" i="4" s="1"/>
  <c r="E558" i="1"/>
  <c r="E553" i="4" s="1"/>
  <c r="E559" i="1"/>
  <c r="E554" i="4" s="1"/>
  <c r="E560" i="1"/>
  <c r="E555" i="4" s="1"/>
  <c r="E561" i="1"/>
  <c r="E556" i="4" s="1"/>
  <c r="E562" i="1"/>
  <c r="J563" i="1" s="1"/>
  <c r="J558" i="4" s="1"/>
  <c r="H562" i="1"/>
  <c r="H557" i="4" s="1"/>
  <c r="K562" i="1"/>
  <c r="K557" i="4" s="1"/>
  <c r="L562" i="1"/>
  <c r="L557" i="4" s="1"/>
  <c r="I562" i="1" l="1"/>
  <c r="I557" i="4" s="1"/>
  <c r="I563" i="1"/>
  <c r="I558" i="4" s="1"/>
  <c r="J562" i="1"/>
  <c r="J557" i="4" s="1"/>
  <c r="E557" i="4"/>
  <c r="G562" i="1"/>
  <c r="G557" i="4" s="1"/>
  <c r="G561" i="1"/>
  <c r="G556" i="4" s="1"/>
  <c r="H561" i="1"/>
  <c r="H556" i="4" s="1"/>
  <c r="I561" i="1"/>
  <c r="I556" i="4" s="1"/>
  <c r="J561" i="1"/>
  <c r="J556" i="4" s="1"/>
  <c r="K561" i="1"/>
  <c r="K556" i="4" s="1"/>
  <c r="L561" i="1"/>
  <c r="L556" i="4" s="1"/>
  <c r="I560" i="1" l="1"/>
  <c r="I555" i="4" s="1"/>
  <c r="G560" i="1"/>
  <c r="G555" i="4" s="1"/>
  <c r="H560" i="1"/>
  <c r="H555" i="4" s="1"/>
  <c r="J560" i="1"/>
  <c r="J555" i="4" s="1"/>
  <c r="K560" i="1"/>
  <c r="K555" i="4" s="1"/>
  <c r="L560" i="1"/>
  <c r="L555" i="4" s="1"/>
  <c r="I559" i="1" l="1"/>
  <c r="I554" i="4" s="1"/>
  <c r="G559" i="1"/>
  <c r="G554" i="4" s="1"/>
  <c r="H559" i="1"/>
  <c r="H554" i="4" s="1"/>
  <c r="J559" i="1"/>
  <c r="J554" i="4" s="1"/>
  <c r="K559" i="1"/>
  <c r="K554" i="4" s="1"/>
  <c r="L559" i="1"/>
  <c r="L554" i="4" s="1"/>
  <c r="G558" i="1" l="1"/>
  <c r="G553" i="4" s="1"/>
  <c r="H558" i="1"/>
  <c r="H553" i="4" s="1"/>
  <c r="K558" i="1"/>
  <c r="K553" i="4" s="1"/>
  <c r="L558" i="1"/>
  <c r="L553" i="4" s="1"/>
  <c r="E557" i="1" l="1"/>
  <c r="H557" i="1"/>
  <c r="H552" i="4" s="1"/>
  <c r="K557" i="1"/>
  <c r="K552" i="4" s="1"/>
  <c r="L557" i="1"/>
  <c r="L552" i="4" s="1"/>
  <c r="G557" i="1" l="1"/>
  <c r="G552" i="4" s="1"/>
  <c r="E552" i="4"/>
  <c r="I558" i="1"/>
  <c r="I553" i="4" s="1"/>
  <c r="J558" i="1"/>
  <c r="J553" i="4" s="1"/>
  <c r="E556" i="1" l="1"/>
  <c r="H556" i="1"/>
  <c r="H551" i="4" s="1"/>
  <c r="K556" i="1"/>
  <c r="K551" i="4" s="1"/>
  <c r="L556" i="1"/>
  <c r="L551" i="4" s="1"/>
  <c r="E551" i="4" l="1"/>
  <c r="J557" i="1"/>
  <c r="J552" i="4" s="1"/>
  <c r="I557" i="1"/>
  <c r="I552" i="4" s="1"/>
  <c r="G556" i="1"/>
  <c r="G551" i="4" s="1"/>
  <c r="E555" i="1"/>
  <c r="G555" i="1" s="1"/>
  <c r="G550" i="4" s="1"/>
  <c r="H555" i="1"/>
  <c r="H550" i="4" s="1"/>
  <c r="K555" i="1"/>
  <c r="K550" i="4" s="1"/>
  <c r="L555" i="1"/>
  <c r="L550" i="4" s="1"/>
  <c r="E550" i="4" l="1"/>
  <c r="J556" i="1"/>
  <c r="J551" i="4" s="1"/>
  <c r="I556" i="1"/>
  <c r="I551" i="4" s="1"/>
  <c r="E554" i="1"/>
  <c r="G554" i="1" s="1"/>
  <c r="G549" i="4" s="1"/>
  <c r="H554" i="1"/>
  <c r="H549" i="4" s="1"/>
  <c r="K554" i="1"/>
  <c r="K549" i="4" s="1"/>
  <c r="L554" i="1"/>
  <c r="L549" i="4" s="1"/>
  <c r="E549" i="4" l="1"/>
  <c r="J555" i="1"/>
  <c r="J550" i="4" s="1"/>
  <c r="I555" i="1"/>
  <c r="I550" i="4" s="1"/>
  <c r="E553" i="1"/>
  <c r="G553" i="1" s="1"/>
  <c r="G548" i="4" s="1"/>
  <c r="H553" i="1"/>
  <c r="H548" i="4" s="1"/>
  <c r="K553" i="1"/>
  <c r="K548" i="4" s="1"/>
  <c r="L553" i="1"/>
  <c r="L548" i="4" s="1"/>
  <c r="E548" i="4" l="1"/>
  <c r="J554" i="1"/>
  <c r="J549" i="4" s="1"/>
  <c r="I554" i="1"/>
  <c r="I549" i="4" s="1"/>
  <c r="E552" i="1"/>
  <c r="H552" i="1"/>
  <c r="H547" i="4" s="1"/>
  <c r="K552" i="1"/>
  <c r="K547" i="4" s="1"/>
  <c r="L552" i="1"/>
  <c r="L547" i="4" s="1"/>
  <c r="E547" i="4" l="1"/>
  <c r="J553" i="1"/>
  <c r="J548" i="4" s="1"/>
  <c r="I553" i="1"/>
  <c r="I548" i="4" s="1"/>
  <c r="G552" i="1"/>
  <c r="G547" i="4" s="1"/>
  <c r="H551" i="1"/>
  <c r="H546" i="4" s="1"/>
  <c r="E551" i="1" l="1"/>
  <c r="K551" i="1"/>
  <c r="K546" i="4" s="1"/>
  <c r="L551" i="1"/>
  <c r="L546" i="4" s="1"/>
  <c r="E546" i="4" l="1"/>
  <c r="I552" i="1"/>
  <c r="I547" i="4" s="1"/>
  <c r="J552" i="1"/>
  <c r="J547" i="4" s="1"/>
  <c r="G551" i="1"/>
  <c r="G546" i="4" s="1"/>
  <c r="H550" i="1"/>
  <c r="H545" i="4" s="1"/>
  <c r="E550" i="1"/>
  <c r="J551" i="1" s="1"/>
  <c r="J546" i="4" s="1"/>
  <c r="K550" i="1"/>
  <c r="K545" i="4" s="1"/>
  <c r="L550" i="1"/>
  <c r="L545" i="4" s="1"/>
  <c r="I551" i="1" l="1"/>
  <c r="I546" i="4" s="1"/>
  <c r="G550" i="1"/>
  <c r="G545" i="4" s="1"/>
  <c r="E545" i="4"/>
  <c r="L549" i="1" l="1"/>
  <c r="L544" i="4" s="1"/>
  <c r="K549" i="1"/>
  <c r="K544" i="4" s="1"/>
  <c r="H549" i="1"/>
  <c r="H544" i="4" s="1"/>
  <c r="E549" i="1"/>
  <c r="E544" i="4" l="1"/>
  <c r="I550" i="1"/>
  <c r="I545" i="4" s="1"/>
  <c r="J550" i="1"/>
  <c r="J545" i="4" s="1"/>
  <c r="G549" i="1"/>
  <c r="G544" i="4" s="1"/>
  <c r="K548" i="1"/>
  <c r="K543" i="4" s="1"/>
  <c r="L548" i="1" l="1"/>
  <c r="L543" i="4" s="1"/>
  <c r="H548" i="1"/>
  <c r="H543" i="4" s="1"/>
  <c r="E548" i="1"/>
  <c r="E543" i="4" l="1"/>
  <c r="J549" i="1"/>
  <c r="J544" i="4" s="1"/>
  <c r="I549" i="1"/>
  <c r="I544" i="4" s="1"/>
  <c r="G548" i="1"/>
  <c r="G543" i="4" s="1"/>
  <c r="L547" i="1"/>
  <c r="L542" i="4" s="1"/>
  <c r="K547" i="1"/>
  <c r="K542" i="4" s="1"/>
  <c r="H547" i="1"/>
  <c r="H542" i="4" s="1"/>
  <c r="E547" i="1"/>
  <c r="G547" i="1" l="1"/>
  <c r="G542" i="4" s="1"/>
  <c r="E542" i="4"/>
  <c r="I548" i="1"/>
  <c r="I543" i="4" s="1"/>
  <c r="J548" i="1"/>
  <c r="J543" i="4" s="1"/>
  <c r="L546" i="1"/>
  <c r="L541" i="4" s="1"/>
  <c r="K546" i="1"/>
  <c r="K541" i="4" s="1"/>
  <c r="H546" i="1"/>
  <c r="H541" i="4" s="1"/>
  <c r="E546" i="1"/>
  <c r="E541" i="4" l="1"/>
  <c r="J547" i="1"/>
  <c r="J542" i="4" s="1"/>
  <c r="I547" i="1"/>
  <c r="I542" i="4" s="1"/>
  <c r="G546" i="1"/>
  <c r="G541" i="4" s="1"/>
  <c r="L545" i="1"/>
  <c r="L540" i="4" s="1"/>
  <c r="K545" i="1"/>
  <c r="K540" i="4" s="1"/>
  <c r="H545" i="1"/>
  <c r="H540" i="4" s="1"/>
  <c r="E545" i="1"/>
  <c r="E540" i="4" l="1"/>
  <c r="I546" i="1"/>
  <c r="I541" i="4" s="1"/>
  <c r="J546" i="1"/>
  <c r="J541" i="4" s="1"/>
  <c r="G545" i="1"/>
  <c r="G540" i="4" s="1"/>
  <c r="L544" i="1"/>
  <c r="L539" i="4" s="1"/>
  <c r="K544" i="1"/>
  <c r="K539" i="4" s="1"/>
  <c r="H544" i="1"/>
  <c r="H539" i="4" s="1"/>
  <c r="E544" i="1"/>
  <c r="G544" i="1" l="1"/>
  <c r="G539" i="4" s="1"/>
  <c r="E539" i="4"/>
  <c r="I545" i="1"/>
  <c r="I540" i="4" s="1"/>
  <c r="J545" i="1"/>
  <c r="J540" i="4" s="1"/>
  <c r="L543" i="1"/>
  <c r="L538" i="4" s="1"/>
  <c r="K543" i="1"/>
  <c r="K538" i="4" s="1"/>
  <c r="H543" i="1"/>
  <c r="H538" i="4" s="1"/>
  <c r="E543" i="1"/>
  <c r="G543" i="1" l="1"/>
  <c r="G538" i="4" s="1"/>
  <c r="E538" i="4"/>
  <c r="J544" i="1"/>
  <c r="J539" i="4" s="1"/>
  <c r="I544" i="1"/>
  <c r="I539" i="4" s="1"/>
  <c r="L542" i="1"/>
  <c r="L537" i="4" s="1"/>
  <c r="K542" i="1"/>
  <c r="K537" i="4" s="1"/>
  <c r="H542" i="1"/>
  <c r="H537" i="4" s="1"/>
  <c r="E542" i="1"/>
  <c r="G542" i="1" l="1"/>
  <c r="G537" i="4" s="1"/>
  <c r="E537" i="4"/>
  <c r="J543" i="1"/>
  <c r="J538" i="4" s="1"/>
  <c r="I543" i="1"/>
  <c r="I538" i="4" s="1"/>
  <c r="E541" i="1"/>
  <c r="E536" i="4" s="1"/>
  <c r="L541" i="1"/>
  <c r="L536" i="4" s="1"/>
  <c r="K541" i="1"/>
  <c r="K536" i="4" s="1"/>
  <c r="H541" i="1"/>
  <c r="H536" i="4" s="1"/>
  <c r="G541" i="1" l="1"/>
  <c r="G536" i="4" s="1"/>
  <c r="I542" i="1"/>
  <c r="I537" i="4" s="1"/>
  <c r="J542" i="1"/>
  <c r="J537" i="4" s="1"/>
  <c r="L540" i="1"/>
  <c r="L535" i="4" s="1"/>
  <c r="K540" i="1"/>
  <c r="K535" i="4" s="1"/>
  <c r="H540" i="1"/>
  <c r="H535" i="4" s="1"/>
  <c r="E540" i="1"/>
  <c r="E535" i="4" l="1"/>
  <c r="J541" i="1"/>
  <c r="J536" i="4" s="1"/>
  <c r="I541" i="1"/>
  <c r="I536" i="4" s="1"/>
  <c r="G540" i="1"/>
  <c r="G535" i="4" s="1"/>
  <c r="E539" i="1"/>
  <c r="E534" i="4" s="1"/>
  <c r="L539" i="1"/>
  <c r="L534" i="4" s="1"/>
  <c r="K539" i="1"/>
  <c r="K534" i="4" s="1"/>
  <c r="H539" i="1"/>
  <c r="H534" i="4" s="1"/>
  <c r="G539" i="1" l="1"/>
  <c r="G534" i="4" s="1"/>
  <c r="I540" i="1"/>
  <c r="I535" i="4" s="1"/>
  <c r="J540" i="1"/>
  <c r="J535" i="4" s="1"/>
  <c r="L538" i="1"/>
  <c r="L533" i="4" s="1"/>
  <c r="K538" i="1"/>
  <c r="K533" i="4" s="1"/>
  <c r="H538" i="1"/>
  <c r="H533" i="4" s="1"/>
  <c r="E538" i="1"/>
  <c r="J539" i="1" s="1"/>
  <c r="J534" i="4" s="1"/>
  <c r="G538" i="1" l="1"/>
  <c r="G533" i="4" s="1"/>
  <c r="E533" i="4"/>
  <c r="I539" i="1"/>
  <c r="I534" i="4" s="1"/>
  <c r="L537" i="1"/>
  <c r="L532" i="4" s="1"/>
  <c r="K537" i="1"/>
  <c r="K532" i="4" s="1"/>
  <c r="H537" i="1"/>
  <c r="H532" i="4" s="1"/>
  <c r="E537" i="1"/>
  <c r="I538" i="1" s="1"/>
  <c r="I533" i="4" s="1"/>
  <c r="E532" i="4" l="1"/>
  <c r="J538" i="1"/>
  <c r="J533" i="4" s="1"/>
  <c r="G537" i="1"/>
  <c r="G532" i="4" s="1"/>
  <c r="E536" i="1"/>
  <c r="E531" i="4" s="1"/>
  <c r="L536" i="1"/>
  <c r="L531" i="4" s="1"/>
  <c r="K536" i="1"/>
  <c r="K531" i="4" s="1"/>
  <c r="H536" i="1"/>
  <c r="H531" i="4" s="1"/>
  <c r="G536" i="1" l="1"/>
  <c r="G531" i="4" s="1"/>
  <c r="I537" i="1"/>
  <c r="I532" i="4" s="1"/>
  <c r="J537" i="1"/>
  <c r="J532" i="4" s="1"/>
  <c r="L535" i="1"/>
  <c r="L530" i="4" s="1"/>
  <c r="K535" i="1"/>
  <c r="K530" i="4" s="1"/>
  <c r="H535" i="1"/>
  <c r="H530" i="4" s="1"/>
  <c r="E535" i="1"/>
  <c r="G535" i="1" l="1"/>
  <c r="G530" i="4" s="1"/>
  <c r="E530" i="4"/>
  <c r="J536" i="1"/>
  <c r="J531" i="4" s="1"/>
  <c r="I536" i="1"/>
  <c r="I531" i="4" s="1"/>
  <c r="L534" i="1"/>
  <c r="L529" i="4" s="1"/>
  <c r="K534" i="1"/>
  <c r="K529" i="4" s="1"/>
  <c r="H534" i="1"/>
  <c r="H529" i="4" s="1"/>
  <c r="E534" i="1"/>
  <c r="J535" i="1" s="1"/>
  <c r="J530" i="4" s="1"/>
  <c r="G534" i="1" l="1"/>
  <c r="G529" i="4" s="1"/>
  <c r="E529" i="4"/>
  <c r="I535" i="1"/>
  <c r="I530" i="4" s="1"/>
  <c r="L533" i="1"/>
  <c r="L528" i="4" s="1"/>
  <c r="K533" i="1"/>
  <c r="K528" i="4" s="1"/>
  <c r="H533" i="1"/>
  <c r="H528" i="4" s="1"/>
  <c r="E533" i="1"/>
  <c r="I534" i="1" s="1"/>
  <c r="I529" i="4" s="1"/>
  <c r="G533" i="1" l="1"/>
  <c r="G528" i="4" s="1"/>
  <c r="E528" i="4"/>
  <c r="J534" i="1"/>
  <c r="J529" i="4" s="1"/>
  <c r="L532" i="1"/>
  <c r="L527" i="4" s="1"/>
  <c r="K532" i="1"/>
  <c r="K527" i="4" s="1"/>
  <c r="H532" i="1"/>
  <c r="H527" i="4" s="1"/>
  <c r="E532" i="1"/>
  <c r="I533" i="1" s="1"/>
  <c r="I528" i="4" s="1"/>
  <c r="G532" i="1" l="1"/>
  <c r="G527" i="4" s="1"/>
  <c r="E527" i="4"/>
  <c r="J533" i="1"/>
  <c r="J528" i="4" s="1"/>
  <c r="L531" i="1"/>
  <c r="L526" i="4" s="1"/>
  <c r="K531" i="1"/>
  <c r="K526" i="4" s="1"/>
  <c r="H531" i="1"/>
  <c r="H526" i="4" s="1"/>
  <c r="E531" i="1"/>
  <c r="I532" i="1" s="1"/>
  <c r="I527" i="4" s="1"/>
  <c r="E526" i="4" l="1"/>
  <c r="J532" i="1"/>
  <c r="J527" i="4" s="1"/>
  <c r="G531" i="1"/>
  <c r="G526" i="4" s="1"/>
  <c r="L530" i="1"/>
  <c r="L525" i="4" s="1"/>
  <c r="K530" i="1"/>
  <c r="K525" i="4" s="1"/>
  <c r="H530" i="1"/>
  <c r="H525" i="4" s="1"/>
  <c r="E530" i="1"/>
  <c r="G530" i="1" l="1"/>
  <c r="G525" i="4" s="1"/>
  <c r="E525" i="4"/>
  <c r="I531" i="1"/>
  <c r="I526" i="4" s="1"/>
  <c r="J531" i="1"/>
  <c r="J526" i="4" s="1"/>
  <c r="L529" i="1"/>
  <c r="L524" i="4" s="1"/>
  <c r="K529" i="1"/>
  <c r="K524" i="4" s="1"/>
  <c r="H529" i="1"/>
  <c r="H524" i="4" s="1"/>
  <c r="E529" i="1"/>
  <c r="G529" i="1" l="1"/>
  <c r="G524" i="4" s="1"/>
  <c r="E524" i="4"/>
  <c r="J530" i="1"/>
  <c r="J525" i="4" s="1"/>
  <c r="I530" i="1"/>
  <c r="I525" i="4" s="1"/>
  <c r="L528" i="1"/>
  <c r="L523" i="4" s="1"/>
  <c r="K528" i="1"/>
  <c r="K523" i="4" s="1"/>
  <c r="H528" i="1"/>
  <c r="H523" i="4" s="1"/>
  <c r="E528" i="1"/>
  <c r="I529" i="1" s="1"/>
  <c r="I524" i="4" s="1"/>
  <c r="E523" i="4" l="1"/>
  <c r="J529" i="1"/>
  <c r="J524" i="4" s="1"/>
  <c r="G528" i="1"/>
  <c r="G523" i="4" s="1"/>
  <c r="L527" i="1"/>
  <c r="L522" i="4" s="1"/>
  <c r="K527" i="1"/>
  <c r="K522" i="4" s="1"/>
  <c r="H527" i="1"/>
  <c r="H522" i="4" s="1"/>
  <c r="E527" i="1"/>
  <c r="I528" i="1" s="1"/>
  <c r="I523" i="4" s="1"/>
  <c r="G527" i="1" l="1"/>
  <c r="G522" i="4" s="1"/>
  <c r="E522" i="4"/>
  <c r="J528" i="1"/>
  <c r="J523" i="4" s="1"/>
  <c r="L526" i="1"/>
  <c r="L521" i="4" s="1"/>
  <c r="K526" i="1"/>
  <c r="K521" i="4" s="1"/>
  <c r="H526" i="1"/>
  <c r="H521" i="4" s="1"/>
  <c r="E526" i="1"/>
  <c r="J527" i="1" s="1"/>
  <c r="J522" i="4" s="1"/>
  <c r="E521" i="4" l="1"/>
  <c r="I527" i="1"/>
  <c r="I522" i="4" s="1"/>
  <c r="G526" i="1"/>
  <c r="G521" i="4" s="1"/>
  <c r="E525" i="1"/>
  <c r="L525" i="1"/>
  <c r="L520" i="4" s="1"/>
  <c r="K525" i="1"/>
  <c r="K520" i="4" s="1"/>
  <c r="H525" i="1"/>
  <c r="H520" i="4" s="1"/>
  <c r="E520" i="4" l="1"/>
  <c r="I526" i="1"/>
  <c r="I521" i="4" s="1"/>
  <c r="G525" i="1"/>
  <c r="G520" i="4" s="1"/>
  <c r="J526" i="1"/>
  <c r="J521" i="4" s="1"/>
  <c r="L524" i="1"/>
  <c r="L519" i="4" s="1"/>
  <c r="K524" i="1"/>
  <c r="K519" i="4" s="1"/>
  <c r="H524" i="1"/>
  <c r="H519" i="4" s="1"/>
  <c r="E524" i="1"/>
  <c r="I525" i="1" s="1"/>
  <c r="I520" i="4" s="1"/>
  <c r="G524" i="1" l="1"/>
  <c r="G519" i="4" s="1"/>
  <c r="E519" i="4"/>
  <c r="J525" i="1"/>
  <c r="J520" i="4" s="1"/>
  <c r="L523" i="1"/>
  <c r="L518" i="4" s="1"/>
  <c r="K523" i="1"/>
  <c r="K518" i="4" s="1"/>
  <c r="H523" i="1"/>
  <c r="H518" i="4" s="1"/>
  <c r="E523" i="1"/>
  <c r="G523" i="1" l="1"/>
  <c r="G518" i="4" s="1"/>
  <c r="E518" i="4"/>
  <c r="J524" i="1"/>
  <c r="J519" i="4" s="1"/>
  <c r="I524" i="1"/>
  <c r="I519" i="4" s="1"/>
  <c r="E522" i="1"/>
  <c r="E521" i="1"/>
  <c r="E516" i="4" s="1"/>
  <c r="E520" i="1"/>
  <c r="E515" i="4" s="1"/>
  <c r="L522" i="1"/>
  <c r="L517" i="4" s="1"/>
  <c r="K522" i="1"/>
  <c r="K517" i="4" s="1"/>
  <c r="H522" i="1"/>
  <c r="H517" i="4" s="1"/>
  <c r="I523" i="1" l="1"/>
  <c r="I518" i="4" s="1"/>
  <c r="E517" i="4"/>
  <c r="J523" i="1"/>
  <c r="J518" i="4" s="1"/>
  <c r="I522" i="1"/>
  <c r="I517" i="4" s="1"/>
  <c r="J522" i="1"/>
  <c r="J517" i="4" s="1"/>
  <c r="G522" i="1"/>
  <c r="G517" i="4" s="1"/>
  <c r="L521" i="1"/>
  <c r="L516" i="4" s="1"/>
  <c r="K521" i="1"/>
  <c r="K516" i="4" s="1"/>
  <c r="H521" i="1"/>
  <c r="H516" i="4" s="1"/>
  <c r="J521" i="1"/>
  <c r="J516" i="4" s="1"/>
  <c r="G521" i="1" l="1"/>
  <c r="G516" i="4" s="1"/>
  <c r="I521" i="1"/>
  <c r="I516" i="4" s="1"/>
  <c r="L520" i="1"/>
  <c r="L515" i="4" s="1"/>
  <c r="K520" i="1"/>
  <c r="K515" i="4" s="1"/>
  <c r="H520" i="1"/>
  <c r="H515" i="4" s="1"/>
  <c r="G520" i="1" l="1"/>
  <c r="G515" i="4" s="1"/>
  <c r="D519" i="1"/>
  <c r="D514" i="4" s="1"/>
  <c r="C519" i="1"/>
  <c r="C514" i="4" s="1"/>
  <c r="B519" i="1"/>
  <c r="B514" i="4" s="1"/>
  <c r="L519" i="1" l="1"/>
  <c r="L514" i="4" s="1"/>
  <c r="K519" i="1"/>
  <c r="K514" i="4" s="1"/>
  <c r="H519" i="1"/>
  <c r="H514" i="4" s="1"/>
  <c r="E519" i="1"/>
  <c r="E514" i="4" s="1"/>
  <c r="J520" i="1" l="1"/>
  <c r="J515" i="4" s="1"/>
  <c r="I520" i="1"/>
  <c r="I515" i="4" s="1"/>
  <c r="G519" i="1"/>
  <c r="G514" i="4" s="1"/>
  <c r="L518" i="1"/>
  <c r="L513" i="4" s="1"/>
  <c r="K518" i="1"/>
  <c r="K513" i="4" s="1"/>
  <c r="H518" i="1"/>
  <c r="H513" i="4" s="1"/>
  <c r="E518" i="1"/>
  <c r="G518" i="1" l="1"/>
  <c r="G513" i="4" s="1"/>
  <c r="E513" i="4"/>
  <c r="I519" i="1"/>
  <c r="I514" i="4" s="1"/>
  <c r="J519" i="1"/>
  <c r="J514" i="4" s="1"/>
  <c r="L517" i="1"/>
  <c r="L512" i="4" s="1"/>
  <c r="K517" i="1"/>
  <c r="K512" i="4" s="1"/>
  <c r="H517" i="1"/>
  <c r="H512" i="4" s="1"/>
  <c r="E517" i="1"/>
  <c r="G517" i="1" l="1"/>
  <c r="G512" i="4" s="1"/>
  <c r="E512" i="4"/>
  <c r="J518" i="1"/>
  <c r="J513" i="4" s="1"/>
  <c r="I518" i="1"/>
  <c r="I513" i="4" s="1"/>
  <c r="L516" i="1"/>
  <c r="L511" i="4" s="1"/>
  <c r="K516" i="1"/>
  <c r="K511" i="4" s="1"/>
  <c r="H516" i="1"/>
  <c r="H511" i="4" s="1"/>
  <c r="E516" i="1"/>
  <c r="E511" i="4" s="1"/>
  <c r="G516" i="1" l="1"/>
  <c r="G511" i="4" s="1"/>
  <c r="J517" i="1"/>
  <c r="J512" i="4" s="1"/>
  <c r="I517" i="1"/>
  <c r="I512" i="4" s="1"/>
  <c r="L515" i="1"/>
  <c r="L510" i="4" s="1"/>
  <c r="K515" i="1"/>
  <c r="K510" i="4" s="1"/>
  <c r="H515" i="1"/>
  <c r="H510" i="4" s="1"/>
  <c r="E515" i="1"/>
  <c r="I516" i="1" l="1"/>
  <c r="I511" i="4" s="1"/>
  <c r="E510" i="4"/>
  <c r="J516" i="1"/>
  <c r="J511" i="4" s="1"/>
  <c r="G515" i="1"/>
  <c r="G510" i="4" s="1"/>
  <c r="L514" i="1"/>
  <c r="L509" i="4" s="1"/>
  <c r="K514" i="1"/>
  <c r="K509" i="4" s="1"/>
  <c r="H514" i="1"/>
  <c r="H509" i="4" s="1"/>
  <c r="E514" i="1"/>
  <c r="E509" i="4" s="1"/>
  <c r="I515" i="1" l="1"/>
  <c r="I510" i="4" s="1"/>
  <c r="J515" i="1"/>
  <c r="J510" i="4" s="1"/>
  <c r="G514" i="1"/>
  <c r="G509" i="4" s="1"/>
  <c r="L513" i="1"/>
  <c r="L508" i="4" s="1"/>
  <c r="K513" i="1"/>
  <c r="K508" i="4" s="1"/>
  <c r="H513" i="1"/>
  <c r="H508" i="4" s="1"/>
  <c r="E513" i="1"/>
  <c r="E508" i="4" s="1"/>
  <c r="I514" i="1" l="1"/>
  <c r="I509" i="4" s="1"/>
  <c r="J514" i="1"/>
  <c r="J509" i="4" s="1"/>
  <c r="G513" i="1"/>
  <c r="G508" i="4" s="1"/>
  <c r="L512" i="1"/>
  <c r="L507" i="4" s="1"/>
  <c r="K512" i="1"/>
  <c r="K507" i="4" s="1"/>
  <c r="H512" i="1"/>
  <c r="H507" i="4" s="1"/>
  <c r="E512" i="1"/>
  <c r="I513" i="1" l="1"/>
  <c r="I508" i="4" s="1"/>
  <c r="E507" i="4"/>
  <c r="J513" i="1"/>
  <c r="J508" i="4" s="1"/>
  <c r="G512" i="1"/>
  <c r="G507" i="4" s="1"/>
  <c r="L511" i="1"/>
  <c r="L506" i="4" s="1"/>
  <c r="K511" i="1"/>
  <c r="K506" i="4" s="1"/>
  <c r="H511" i="1"/>
  <c r="H506" i="4" s="1"/>
  <c r="E511" i="1"/>
  <c r="E506" i="4" s="1"/>
  <c r="I512" i="1" l="1"/>
  <c r="I507" i="4" s="1"/>
  <c r="J512" i="1"/>
  <c r="J507" i="4" s="1"/>
  <c r="G511" i="1"/>
  <c r="G506" i="4" s="1"/>
  <c r="E510" i="1"/>
  <c r="E505" i="4" s="1"/>
  <c r="L510" i="1"/>
  <c r="L505" i="4" s="1"/>
  <c r="K510" i="1"/>
  <c r="K505" i="4" s="1"/>
  <c r="H510" i="1"/>
  <c r="H505" i="4" s="1"/>
  <c r="G510" i="1" l="1"/>
  <c r="G505" i="4" s="1"/>
  <c r="I511" i="1"/>
  <c r="I506" i="4" s="1"/>
  <c r="J511" i="1"/>
  <c r="J506" i="4" s="1"/>
  <c r="L509" i="1"/>
  <c r="L504" i="4" s="1"/>
  <c r="K509" i="1"/>
  <c r="K504" i="4" s="1"/>
  <c r="H509" i="1"/>
  <c r="H504" i="4" s="1"/>
  <c r="E509" i="1"/>
  <c r="E504" i="4" s="1"/>
  <c r="I510" i="1" l="1"/>
  <c r="I505" i="4" s="1"/>
  <c r="J510" i="1"/>
  <c r="J505" i="4" s="1"/>
  <c r="G509" i="1"/>
  <c r="G504" i="4" s="1"/>
  <c r="L508" i="1"/>
  <c r="L503" i="4" s="1"/>
  <c r="K508" i="1"/>
  <c r="K503" i="4" s="1"/>
  <c r="H508" i="1"/>
  <c r="H503" i="4" s="1"/>
  <c r="E508" i="1"/>
  <c r="E503" i="4" s="1"/>
  <c r="I509" i="1" l="1"/>
  <c r="I504" i="4" s="1"/>
  <c r="J509" i="1"/>
  <c r="J504" i="4" s="1"/>
  <c r="G508" i="1"/>
  <c r="G503" i="4" s="1"/>
  <c r="L507" i="1"/>
  <c r="L502" i="4" s="1"/>
  <c r="K507" i="1"/>
  <c r="K502" i="4" s="1"/>
  <c r="H507" i="1"/>
  <c r="H502" i="4" s="1"/>
  <c r="E507" i="1"/>
  <c r="E502" i="4" s="1"/>
  <c r="I508" i="1" l="1"/>
  <c r="I503" i="4" s="1"/>
  <c r="J508" i="1"/>
  <c r="J503" i="4" s="1"/>
  <c r="G507" i="1"/>
  <c r="G502" i="4" s="1"/>
  <c r="L506" i="1"/>
  <c r="L501" i="4" s="1"/>
  <c r="K506" i="1"/>
  <c r="K501" i="4" s="1"/>
  <c r="H506" i="1"/>
  <c r="H501" i="4" s="1"/>
  <c r="E506" i="1"/>
  <c r="I507" i="1" l="1"/>
  <c r="I502" i="4" s="1"/>
  <c r="E501" i="4"/>
  <c r="J507" i="1"/>
  <c r="J502" i="4" s="1"/>
  <c r="G506" i="1"/>
  <c r="G501" i="4" s="1"/>
  <c r="L505" i="1"/>
  <c r="L500" i="4" s="1"/>
  <c r="K505" i="1"/>
  <c r="K500" i="4" s="1"/>
  <c r="H505" i="1"/>
  <c r="H500" i="4" s="1"/>
  <c r="E505" i="1"/>
  <c r="E500" i="4" s="1"/>
  <c r="J506" i="1" l="1"/>
  <c r="J501" i="4" s="1"/>
  <c r="I506" i="1"/>
  <c r="I501" i="4" s="1"/>
  <c r="G505" i="1"/>
  <c r="G500" i="4" s="1"/>
  <c r="L504" i="1"/>
  <c r="L499" i="4" s="1"/>
  <c r="K504" i="1"/>
  <c r="K499" i="4" s="1"/>
  <c r="H504" i="1"/>
  <c r="H499" i="4" s="1"/>
  <c r="E504" i="1"/>
  <c r="E499" i="4" s="1"/>
  <c r="I505" i="1" l="1"/>
  <c r="I500" i="4" s="1"/>
  <c r="J505" i="1"/>
  <c r="J500" i="4" s="1"/>
  <c r="G504" i="1"/>
  <c r="G499" i="4" s="1"/>
  <c r="L503" i="1"/>
  <c r="L498" i="4" s="1"/>
  <c r="K503" i="1"/>
  <c r="K498" i="4" s="1"/>
  <c r="H503" i="1"/>
  <c r="H498" i="4" s="1"/>
  <c r="E503" i="1"/>
  <c r="E498" i="4" s="1"/>
  <c r="I504" i="1" l="1"/>
  <c r="I499" i="4" s="1"/>
  <c r="J504" i="1"/>
  <c r="J499" i="4" s="1"/>
  <c r="G503" i="1"/>
  <c r="G498" i="4" s="1"/>
  <c r="L502" i="1"/>
  <c r="L497" i="4" s="1"/>
  <c r="K502" i="1"/>
  <c r="K497" i="4" s="1"/>
  <c r="H502" i="1"/>
  <c r="H497" i="4" s="1"/>
  <c r="E502" i="1"/>
  <c r="J503" i="1" l="1"/>
  <c r="J498" i="4" s="1"/>
  <c r="E497" i="4"/>
  <c r="I503" i="1"/>
  <c r="I498" i="4" s="1"/>
  <c r="G502" i="1"/>
  <c r="G497" i="4" s="1"/>
  <c r="E501" i="1"/>
  <c r="G501" i="1" s="1"/>
  <c r="G496" i="4" s="1"/>
  <c r="L501" i="1"/>
  <c r="L496" i="4" s="1"/>
  <c r="K501" i="1"/>
  <c r="K496" i="4" s="1"/>
  <c r="H501" i="1"/>
  <c r="H496" i="4" s="1"/>
  <c r="J502" i="1" l="1"/>
  <c r="J497" i="4" s="1"/>
  <c r="E496" i="4"/>
  <c r="I502" i="1"/>
  <c r="I497" i="4" s="1"/>
  <c r="L500" i="1"/>
  <c r="L495" i="4" s="1"/>
  <c r="K500" i="1"/>
  <c r="K495" i="4" s="1"/>
  <c r="H500" i="1"/>
  <c r="H495" i="4" s="1"/>
  <c r="E500" i="1"/>
  <c r="E495" i="4" s="1"/>
  <c r="I501" i="1" l="1"/>
  <c r="I496" i="4" s="1"/>
  <c r="J501" i="1"/>
  <c r="J496" i="4" s="1"/>
  <c r="G500" i="1"/>
  <c r="G495" i="4" s="1"/>
  <c r="L499" i="1"/>
  <c r="L494" i="4" s="1"/>
  <c r="K499" i="1"/>
  <c r="K494" i="4" s="1"/>
  <c r="H499" i="1"/>
  <c r="H494" i="4" s="1"/>
  <c r="E499" i="1"/>
  <c r="I500" i="1" l="1"/>
  <c r="I495" i="4" s="1"/>
  <c r="E494" i="4"/>
  <c r="J500" i="1"/>
  <c r="J495" i="4" s="1"/>
  <c r="G499" i="1"/>
  <c r="G494" i="4" s="1"/>
  <c r="L498" i="1"/>
  <c r="L493" i="4" s="1"/>
  <c r="K498" i="1"/>
  <c r="K493" i="4" s="1"/>
  <c r="H498" i="1"/>
  <c r="H493" i="4" s="1"/>
  <c r="E498" i="1"/>
  <c r="E493" i="4" s="1"/>
  <c r="I499" i="1" l="1"/>
  <c r="I494" i="4" s="1"/>
  <c r="J499" i="1"/>
  <c r="J494" i="4" s="1"/>
  <c r="G498" i="1"/>
  <c r="G493" i="4" s="1"/>
  <c r="L497" i="1"/>
  <c r="L492" i="4" s="1"/>
  <c r="K497" i="1"/>
  <c r="K492" i="4" s="1"/>
  <c r="H497" i="1"/>
  <c r="H492" i="4" s="1"/>
  <c r="E497" i="1"/>
  <c r="E492" i="4" s="1"/>
  <c r="I498" i="1" l="1"/>
  <c r="I493" i="4" s="1"/>
  <c r="J498" i="1"/>
  <c r="J493" i="4" s="1"/>
  <c r="G497" i="1"/>
  <c r="G492" i="4" s="1"/>
  <c r="L496" i="1"/>
  <c r="L491" i="4" s="1"/>
  <c r="K496" i="1"/>
  <c r="K491" i="4" s="1"/>
  <c r="H496" i="1"/>
  <c r="H491" i="4" s="1"/>
  <c r="E496" i="1"/>
  <c r="J497" i="1" l="1"/>
  <c r="J492" i="4" s="1"/>
  <c r="E491" i="4"/>
  <c r="G496" i="1"/>
  <c r="G491" i="4" s="1"/>
  <c r="I497" i="1"/>
  <c r="I492" i="4" s="1"/>
  <c r="L495" i="1"/>
  <c r="L490" i="4" s="1"/>
  <c r="K495" i="1"/>
  <c r="K490" i="4" s="1"/>
  <c r="H495" i="1"/>
  <c r="H490" i="4" s="1"/>
  <c r="E495" i="1"/>
  <c r="G495" i="1" l="1"/>
  <c r="G490" i="4" s="1"/>
  <c r="E490" i="4"/>
  <c r="I496" i="1"/>
  <c r="I491" i="4" s="1"/>
  <c r="J496" i="1"/>
  <c r="J491" i="4" s="1"/>
  <c r="L494" i="1"/>
  <c r="L489" i="4" s="1"/>
  <c r="K494" i="1"/>
  <c r="K489" i="4" s="1"/>
  <c r="H494" i="1"/>
  <c r="H489" i="4" s="1"/>
  <c r="E494" i="1"/>
  <c r="E489" i="4" s="1"/>
  <c r="J495" i="1" l="1"/>
  <c r="J490" i="4" s="1"/>
  <c r="I495" i="1"/>
  <c r="I490" i="4" s="1"/>
  <c r="G494" i="1"/>
  <c r="G489" i="4" s="1"/>
  <c r="L493" i="1"/>
  <c r="L488" i="4" s="1"/>
  <c r="K493" i="1"/>
  <c r="K488" i="4" s="1"/>
  <c r="H493" i="1"/>
  <c r="H488" i="4" s="1"/>
  <c r="E493" i="1"/>
  <c r="E488" i="4" s="1"/>
  <c r="I494" i="1" l="1"/>
  <c r="I489" i="4" s="1"/>
  <c r="J494" i="1"/>
  <c r="J489" i="4" s="1"/>
  <c r="G493" i="1"/>
  <c r="G488" i="4" s="1"/>
  <c r="L492" i="1"/>
  <c r="L487" i="4" s="1"/>
  <c r="K492" i="1"/>
  <c r="K487" i="4" s="1"/>
  <c r="H492" i="1"/>
  <c r="H487" i="4" s="1"/>
  <c r="E492" i="1"/>
  <c r="E487" i="4" s="1"/>
  <c r="I493" i="1" l="1"/>
  <c r="I488" i="4" s="1"/>
  <c r="J493" i="1"/>
  <c r="J488" i="4" s="1"/>
  <c r="G492" i="1"/>
  <c r="G487" i="4" s="1"/>
  <c r="L491" i="1"/>
  <c r="L486" i="4" s="1"/>
  <c r="K491" i="1"/>
  <c r="K486" i="4" s="1"/>
  <c r="H491" i="1"/>
  <c r="H486" i="4" s="1"/>
  <c r="E491" i="1"/>
  <c r="E486" i="4" s="1"/>
  <c r="I492" i="1" l="1"/>
  <c r="I487" i="4" s="1"/>
  <c r="J492" i="1"/>
  <c r="J487" i="4" s="1"/>
  <c r="G491" i="1"/>
  <c r="G486" i="4" s="1"/>
  <c r="L490" i="1"/>
  <c r="L485" i="4" s="1"/>
  <c r="K490" i="1"/>
  <c r="K485" i="4" s="1"/>
  <c r="H490" i="1"/>
  <c r="H485" i="4" s="1"/>
  <c r="E490" i="1"/>
  <c r="J491" i="1" l="1"/>
  <c r="J486" i="4" s="1"/>
  <c r="E485" i="4"/>
  <c r="I491" i="1"/>
  <c r="I486" i="4" s="1"/>
  <c r="G490" i="1"/>
  <c r="G485" i="4" s="1"/>
  <c r="D489" i="1"/>
  <c r="D484" i="4" s="1"/>
  <c r="C489" i="1"/>
  <c r="C484" i="4" s="1"/>
  <c r="B489" i="1"/>
  <c r="B484" i="4" s="1"/>
  <c r="E489" i="1" l="1"/>
  <c r="H489" i="1"/>
  <c r="H484" i="4" s="1"/>
  <c r="K489" i="1"/>
  <c r="K484" i="4" s="1"/>
  <c r="L489" i="1"/>
  <c r="L484" i="4" s="1"/>
  <c r="I490" i="1" l="1"/>
  <c r="I485" i="4" s="1"/>
  <c r="E484" i="4"/>
  <c r="G489" i="1"/>
  <c r="G484" i="4" s="1"/>
  <c r="J490" i="1"/>
  <c r="J485" i="4" s="1"/>
  <c r="H488" i="1"/>
  <c r="H483" i="4" s="1"/>
  <c r="K488" i="1"/>
  <c r="K483" i="4" s="1"/>
  <c r="L488" i="1"/>
  <c r="L483" i="4" s="1"/>
  <c r="D488" i="1"/>
  <c r="D483" i="4" s="1"/>
  <c r="C488" i="1"/>
  <c r="C483" i="4" s="1"/>
  <c r="B488" i="1"/>
  <c r="B483" i="4" s="1"/>
  <c r="E488" i="1" l="1"/>
  <c r="I489" i="1" s="1"/>
  <c r="I484" i="4" s="1"/>
  <c r="H487" i="1"/>
  <c r="H482" i="4" s="1"/>
  <c r="K487" i="1"/>
  <c r="K482" i="4" s="1"/>
  <c r="L487" i="1"/>
  <c r="L482" i="4" s="1"/>
  <c r="D487" i="1"/>
  <c r="D482" i="4" s="1"/>
  <c r="C487" i="1"/>
  <c r="C482" i="4" s="1"/>
  <c r="B487" i="1"/>
  <c r="B482" i="4" s="1"/>
  <c r="J489" i="1" l="1"/>
  <c r="J484" i="4" s="1"/>
  <c r="E483" i="4"/>
  <c r="G488" i="1"/>
  <c r="G483" i="4" s="1"/>
  <c r="E487" i="1"/>
  <c r="H486" i="1"/>
  <c r="H481" i="4" s="1"/>
  <c r="K486" i="1"/>
  <c r="K481" i="4" s="1"/>
  <c r="L486" i="1"/>
  <c r="L481" i="4" s="1"/>
  <c r="D486" i="1"/>
  <c r="C486" i="1"/>
  <c r="C481" i="4" s="1"/>
  <c r="B486" i="1"/>
  <c r="B481" i="4" s="1"/>
  <c r="E486" i="1" l="1"/>
  <c r="E481" i="4" s="1"/>
  <c r="D481" i="4"/>
  <c r="I488" i="1"/>
  <c r="I483" i="4" s="1"/>
  <c r="E482" i="4"/>
  <c r="G487" i="1"/>
  <c r="G482" i="4" s="1"/>
  <c r="J488" i="1"/>
  <c r="J483" i="4" s="1"/>
  <c r="H485" i="1"/>
  <c r="H480" i="4" s="1"/>
  <c r="K485" i="1"/>
  <c r="K480" i="4" s="1"/>
  <c r="L485" i="1"/>
  <c r="L480" i="4" s="1"/>
  <c r="D485" i="1"/>
  <c r="D480" i="4" s="1"/>
  <c r="C485" i="1"/>
  <c r="C480" i="4" s="1"/>
  <c r="B485" i="1"/>
  <c r="B480" i="4" s="1"/>
  <c r="I487" i="1" l="1"/>
  <c r="I482" i="4" s="1"/>
  <c r="G486" i="1"/>
  <c r="G481" i="4" s="1"/>
  <c r="J487" i="1"/>
  <c r="J482" i="4" s="1"/>
  <c r="E485" i="1"/>
  <c r="D484" i="1"/>
  <c r="D479" i="4" s="1"/>
  <c r="C484" i="1"/>
  <c r="B484" i="1"/>
  <c r="B479" i="4" s="1"/>
  <c r="E484" i="1" l="1"/>
  <c r="E479" i="4" s="1"/>
  <c r="C479" i="4"/>
  <c r="J486" i="1"/>
  <c r="J481" i="4" s="1"/>
  <c r="E480" i="4"/>
  <c r="I486" i="1"/>
  <c r="I481" i="4" s="1"/>
  <c r="G485" i="1"/>
  <c r="G480" i="4" s="1"/>
  <c r="H484" i="1"/>
  <c r="H479" i="4" s="1"/>
  <c r="K484" i="1"/>
  <c r="K479" i="4" s="1"/>
  <c r="L484" i="1"/>
  <c r="L479" i="4" s="1"/>
  <c r="G484" i="1" l="1"/>
  <c r="G479" i="4" s="1"/>
  <c r="J485" i="1"/>
  <c r="J480" i="4" s="1"/>
  <c r="I485" i="1"/>
  <c r="I480" i="4" s="1"/>
  <c r="H483" i="1"/>
  <c r="H478" i="4" s="1"/>
  <c r="K483" i="1"/>
  <c r="K478" i="4" s="1"/>
  <c r="L483" i="1"/>
  <c r="L478" i="4" s="1"/>
  <c r="D483" i="1"/>
  <c r="C483" i="1"/>
  <c r="C478" i="4" s="1"/>
  <c r="B483" i="1"/>
  <c r="B478" i="4" s="1"/>
  <c r="E483" i="1" l="1"/>
  <c r="E478" i="4" s="1"/>
  <c r="D478" i="4"/>
  <c r="H482" i="1"/>
  <c r="H477" i="4" s="1"/>
  <c r="K482" i="1"/>
  <c r="K477" i="4" s="1"/>
  <c r="L482" i="1"/>
  <c r="L477" i="4" s="1"/>
  <c r="D482" i="1"/>
  <c r="D477" i="4" s="1"/>
  <c r="C482" i="1"/>
  <c r="C477" i="4" s="1"/>
  <c r="B482" i="1"/>
  <c r="B477" i="4" s="1"/>
  <c r="J484" i="1" l="1"/>
  <c r="J479" i="4" s="1"/>
  <c r="I484" i="1"/>
  <c r="I479" i="4" s="1"/>
  <c r="G483" i="1"/>
  <c r="G478" i="4" s="1"/>
  <c r="E482" i="1"/>
  <c r="J483" i="1" s="1"/>
  <c r="J478" i="4" s="1"/>
  <c r="H481" i="1"/>
  <c r="H476" i="4" s="1"/>
  <c r="K481" i="1"/>
  <c r="K476" i="4" s="1"/>
  <c r="L481" i="1"/>
  <c r="L476" i="4" s="1"/>
  <c r="D481" i="1"/>
  <c r="D476" i="4" s="1"/>
  <c r="C481" i="1"/>
  <c r="C476" i="4" s="1"/>
  <c r="B481" i="1"/>
  <c r="B476" i="4" s="1"/>
  <c r="G482" i="1" l="1"/>
  <c r="G477" i="4" s="1"/>
  <c r="E477" i="4"/>
  <c r="I483" i="1"/>
  <c r="I478" i="4" s="1"/>
  <c r="E481" i="1"/>
  <c r="H480" i="1"/>
  <c r="H475" i="4" s="1"/>
  <c r="K480" i="1"/>
  <c r="K475" i="4" s="1"/>
  <c r="L480" i="1"/>
  <c r="L475" i="4" s="1"/>
  <c r="D480" i="1"/>
  <c r="D475" i="4" s="1"/>
  <c r="C480" i="1"/>
  <c r="C475" i="4" s="1"/>
  <c r="B480" i="1"/>
  <c r="B475" i="4" s="1"/>
  <c r="I482" i="1" l="1"/>
  <c r="I477" i="4" s="1"/>
  <c r="E476" i="4"/>
  <c r="J482" i="1"/>
  <c r="J477" i="4" s="1"/>
  <c r="G481" i="1"/>
  <c r="G476" i="4" s="1"/>
  <c r="E480" i="1"/>
  <c r="E475" i="4" s="1"/>
  <c r="H479" i="1"/>
  <c r="H474" i="4" s="1"/>
  <c r="K479" i="1"/>
  <c r="K474" i="4" s="1"/>
  <c r="L479" i="1"/>
  <c r="L474" i="4" s="1"/>
  <c r="D479" i="1"/>
  <c r="D474" i="4" s="1"/>
  <c r="C479" i="1"/>
  <c r="C474" i="4" s="1"/>
  <c r="B479" i="1"/>
  <c r="B474" i="4" s="1"/>
  <c r="J481" i="1" l="1"/>
  <c r="J476" i="4" s="1"/>
  <c r="G480" i="1"/>
  <c r="G475" i="4" s="1"/>
  <c r="I481" i="1"/>
  <c r="I476" i="4" s="1"/>
  <c r="E479" i="1"/>
  <c r="D478" i="1"/>
  <c r="D473" i="4" s="1"/>
  <c r="C478" i="1"/>
  <c r="C473" i="4" s="1"/>
  <c r="B478" i="1"/>
  <c r="B473" i="4" s="1"/>
  <c r="I480" i="1" l="1"/>
  <c r="I475" i="4" s="1"/>
  <c r="E474" i="4"/>
  <c r="J480" i="1"/>
  <c r="J475" i="4" s="1"/>
  <c r="G479" i="1"/>
  <c r="G474" i="4" s="1"/>
  <c r="E478" i="1"/>
  <c r="I479" i="1" s="1"/>
  <c r="I474" i="4" s="1"/>
  <c r="H478" i="1"/>
  <c r="H473" i="4" s="1"/>
  <c r="K478" i="1"/>
  <c r="K473" i="4" s="1"/>
  <c r="L478" i="1"/>
  <c r="L473" i="4" s="1"/>
  <c r="J479" i="1" l="1"/>
  <c r="J474" i="4" s="1"/>
  <c r="G478" i="1"/>
  <c r="G473" i="4" s="1"/>
  <c r="E473" i="4"/>
  <c r="H477" i="1"/>
  <c r="H472" i="4" s="1"/>
  <c r="K477" i="1"/>
  <c r="K472" i="4" s="1"/>
  <c r="L477" i="1"/>
  <c r="L472" i="4" s="1"/>
  <c r="D477" i="1"/>
  <c r="D472" i="4" s="1"/>
  <c r="C477" i="1"/>
  <c r="C472" i="4" s="1"/>
  <c r="B477" i="1"/>
  <c r="B472" i="4" s="1"/>
  <c r="E477" i="1" l="1"/>
  <c r="I478" i="1" s="1"/>
  <c r="I473" i="4" s="1"/>
  <c r="H476" i="1"/>
  <c r="H471" i="4" s="1"/>
  <c r="K476" i="1"/>
  <c r="K471" i="4" s="1"/>
  <c r="L476" i="1"/>
  <c r="L471" i="4" s="1"/>
  <c r="D476" i="1"/>
  <c r="D471" i="4" s="1"/>
  <c r="C476" i="1"/>
  <c r="C471" i="4" s="1"/>
  <c r="B476" i="1"/>
  <c r="B471" i="4" s="1"/>
  <c r="J478" i="1" l="1"/>
  <c r="J473" i="4" s="1"/>
  <c r="E472" i="4"/>
  <c r="G477" i="1"/>
  <c r="G472" i="4" s="1"/>
  <c r="E476" i="1"/>
  <c r="L475" i="1"/>
  <c r="L470" i="4" s="1"/>
  <c r="K475" i="1"/>
  <c r="K470" i="4" s="1"/>
  <c r="H475" i="1"/>
  <c r="H470" i="4" s="1"/>
  <c r="E475" i="1"/>
  <c r="E470" i="4" s="1"/>
  <c r="I477" i="1" l="1"/>
  <c r="I472" i="4" s="1"/>
  <c r="E471" i="4"/>
  <c r="G476" i="1"/>
  <c r="G471" i="4" s="1"/>
  <c r="J477" i="1"/>
  <c r="J472" i="4" s="1"/>
  <c r="I476" i="1"/>
  <c r="I471" i="4" s="1"/>
  <c r="J476" i="1"/>
  <c r="J471" i="4" s="1"/>
  <c r="G475" i="1"/>
  <c r="G470" i="4" s="1"/>
  <c r="D474" i="1"/>
  <c r="D469" i="4" s="1"/>
  <c r="C474" i="1"/>
  <c r="C469" i="4" s="1"/>
  <c r="B474" i="1"/>
  <c r="B469" i="4" s="1"/>
  <c r="E474" i="1" l="1"/>
  <c r="H474" i="1"/>
  <c r="H469" i="4" s="1"/>
  <c r="K474" i="1"/>
  <c r="K469" i="4" s="1"/>
  <c r="L474" i="1"/>
  <c r="L469" i="4" s="1"/>
  <c r="I475" i="1" l="1"/>
  <c r="I470" i="4" s="1"/>
  <c r="E469" i="4"/>
  <c r="G474" i="1"/>
  <c r="G469" i="4" s="1"/>
  <c r="J475" i="1"/>
  <c r="J470" i="4" s="1"/>
  <c r="H473" i="1"/>
  <c r="H468" i="4" s="1"/>
  <c r="K473" i="1"/>
  <c r="K468" i="4" s="1"/>
  <c r="L473" i="1"/>
  <c r="L468" i="4" s="1"/>
  <c r="D473" i="1"/>
  <c r="D468" i="4" s="1"/>
  <c r="C473" i="1"/>
  <c r="C468" i="4" s="1"/>
  <c r="B473" i="1"/>
  <c r="E473" i="1" l="1"/>
  <c r="E468" i="4" s="1"/>
  <c r="B468" i="4"/>
  <c r="H472" i="1"/>
  <c r="H467" i="4" s="1"/>
  <c r="K472" i="1"/>
  <c r="K467" i="4" s="1"/>
  <c r="L472" i="1"/>
  <c r="L467" i="4" s="1"/>
  <c r="D472" i="1"/>
  <c r="D467" i="4" s="1"/>
  <c r="C472" i="1"/>
  <c r="C467" i="4" s="1"/>
  <c r="B472" i="1"/>
  <c r="B467" i="4" s="1"/>
  <c r="G473" i="1" l="1"/>
  <c r="G468" i="4" s="1"/>
  <c r="J474" i="1"/>
  <c r="J469" i="4" s="1"/>
  <c r="I474" i="1"/>
  <c r="I469" i="4" s="1"/>
  <c r="E472" i="1"/>
  <c r="J473" i="1" s="1"/>
  <c r="J468" i="4" s="1"/>
  <c r="H471" i="1"/>
  <c r="H466" i="4" s="1"/>
  <c r="K471" i="1"/>
  <c r="K466" i="4" s="1"/>
  <c r="L471" i="1"/>
  <c r="L466" i="4" s="1"/>
  <c r="D471" i="1"/>
  <c r="D466" i="4" s="1"/>
  <c r="C471" i="1"/>
  <c r="C466" i="4" s="1"/>
  <c r="B471" i="1"/>
  <c r="B466" i="4" s="1"/>
  <c r="I473" i="1" l="1"/>
  <c r="I468" i="4" s="1"/>
  <c r="E467" i="4"/>
  <c r="E471" i="1"/>
  <c r="G472" i="1"/>
  <c r="G467" i="4" s="1"/>
  <c r="H470" i="1"/>
  <c r="H465" i="4" s="1"/>
  <c r="K470" i="1"/>
  <c r="K465" i="4" s="1"/>
  <c r="L470" i="1"/>
  <c r="L465" i="4" s="1"/>
  <c r="D470" i="1"/>
  <c r="D465" i="4" s="1"/>
  <c r="C470" i="1"/>
  <c r="C465" i="4" s="1"/>
  <c r="B470" i="1"/>
  <c r="B465" i="4" s="1"/>
  <c r="J472" i="1" l="1"/>
  <c r="J467" i="4" s="1"/>
  <c r="E466" i="4"/>
  <c r="I472" i="1"/>
  <c r="I467" i="4" s="1"/>
  <c r="G471" i="1"/>
  <c r="G466" i="4" s="1"/>
  <c r="E470" i="1"/>
  <c r="I471" i="1" s="1"/>
  <c r="I466" i="4" s="1"/>
  <c r="H469" i="1"/>
  <c r="H464" i="4" s="1"/>
  <c r="K469" i="1"/>
  <c r="K464" i="4" s="1"/>
  <c r="L469" i="1"/>
  <c r="L464" i="4" s="1"/>
  <c r="D469" i="1"/>
  <c r="D464" i="4" s="1"/>
  <c r="C469" i="1"/>
  <c r="C464" i="4" s="1"/>
  <c r="B469" i="1"/>
  <c r="G470" i="1" l="1"/>
  <c r="G465" i="4" s="1"/>
  <c r="E469" i="1"/>
  <c r="G469" i="1" s="1"/>
  <c r="G464" i="4" s="1"/>
  <c r="B464" i="4"/>
  <c r="J471" i="1"/>
  <c r="J466" i="4" s="1"/>
  <c r="E465" i="4"/>
  <c r="I470" i="1"/>
  <c r="I465" i="4" s="1"/>
  <c r="H468" i="1"/>
  <c r="H463" i="4" s="1"/>
  <c r="K468" i="1"/>
  <c r="K463" i="4" s="1"/>
  <c r="L468" i="1"/>
  <c r="L463" i="4" s="1"/>
  <c r="D468" i="1"/>
  <c r="D463" i="4" s="1"/>
  <c r="C468" i="1"/>
  <c r="C463" i="4" s="1"/>
  <c r="B468" i="1"/>
  <c r="B463" i="4" s="1"/>
  <c r="J470" i="1" l="1"/>
  <c r="J465" i="4" s="1"/>
  <c r="E464" i="4"/>
  <c r="E468" i="1"/>
  <c r="I469" i="1" s="1"/>
  <c r="I464" i="4" s="1"/>
  <c r="H467" i="1"/>
  <c r="H462" i="4" s="1"/>
  <c r="K467" i="1"/>
  <c r="K462" i="4" s="1"/>
  <c r="L467" i="1"/>
  <c r="L462" i="4" s="1"/>
  <c r="D467" i="1"/>
  <c r="D462" i="4" s="1"/>
  <c r="C467" i="1"/>
  <c r="B467" i="1"/>
  <c r="B462" i="4" s="1"/>
  <c r="G468" i="1" l="1"/>
  <c r="G463" i="4" s="1"/>
  <c r="E463" i="4"/>
  <c r="E467" i="1"/>
  <c r="G467" i="1" s="1"/>
  <c r="G462" i="4" s="1"/>
  <c r="C462" i="4"/>
  <c r="J469" i="1"/>
  <c r="J464" i="4" s="1"/>
  <c r="D466" i="1"/>
  <c r="D461" i="4" s="1"/>
  <c r="C466" i="1"/>
  <c r="C461" i="4" s="1"/>
  <c r="B466" i="1"/>
  <c r="B461" i="4" s="1"/>
  <c r="J468" i="1" l="1"/>
  <c r="J463" i="4" s="1"/>
  <c r="E462" i="4"/>
  <c r="I468" i="1"/>
  <c r="I463" i="4" s="1"/>
  <c r="E466" i="1"/>
  <c r="H466" i="1"/>
  <c r="H461" i="4" s="1"/>
  <c r="K466" i="1"/>
  <c r="K461" i="4" s="1"/>
  <c r="L466" i="1"/>
  <c r="L461" i="4" s="1"/>
  <c r="I467" i="1" l="1"/>
  <c r="I462" i="4" s="1"/>
  <c r="E461" i="4"/>
  <c r="G466" i="1"/>
  <c r="G461" i="4" s="1"/>
  <c r="J467" i="1"/>
  <c r="J462" i="4" s="1"/>
  <c r="H465" i="1"/>
  <c r="H460" i="4" s="1"/>
  <c r="K465" i="1"/>
  <c r="K460" i="4" s="1"/>
  <c r="L465" i="1"/>
  <c r="L460" i="4" s="1"/>
  <c r="D465" i="1"/>
  <c r="D460" i="4" s="1"/>
  <c r="C465" i="1"/>
  <c r="C460" i="4" s="1"/>
  <c r="B465" i="1"/>
  <c r="B460" i="4" s="1"/>
  <c r="E465" i="1" l="1"/>
  <c r="I466" i="1" s="1"/>
  <c r="I461" i="4" s="1"/>
  <c r="H464" i="1"/>
  <c r="H459" i="4" s="1"/>
  <c r="K464" i="1"/>
  <c r="K459" i="4" s="1"/>
  <c r="L464" i="1"/>
  <c r="L459" i="4" s="1"/>
  <c r="D464" i="1"/>
  <c r="D459" i="4" s="1"/>
  <c r="B464" i="1"/>
  <c r="B459" i="4" s="1"/>
  <c r="J466" i="1" l="1"/>
  <c r="J461" i="4" s="1"/>
  <c r="E460" i="4"/>
  <c r="E464" i="1"/>
  <c r="G465" i="1"/>
  <c r="G460" i="4" s="1"/>
  <c r="D463" i="1"/>
  <c r="D458" i="4" s="1"/>
  <c r="C463" i="1"/>
  <c r="C458" i="4" s="1"/>
  <c r="B463" i="1"/>
  <c r="B458" i="4" s="1"/>
  <c r="H463" i="1"/>
  <c r="H458" i="4" s="1"/>
  <c r="K463" i="1"/>
  <c r="K458" i="4" s="1"/>
  <c r="L463" i="1"/>
  <c r="L458" i="4" s="1"/>
  <c r="J465" i="1" l="1"/>
  <c r="J460" i="4" s="1"/>
  <c r="E459" i="4"/>
  <c r="G464" i="1"/>
  <c r="G459" i="4" s="1"/>
  <c r="I465" i="1"/>
  <c r="I460" i="4" s="1"/>
  <c r="E463" i="1"/>
  <c r="I464" i="1" s="1"/>
  <c r="I459" i="4" s="1"/>
  <c r="H462" i="1"/>
  <c r="H457" i="4" s="1"/>
  <c r="K462" i="1"/>
  <c r="K457" i="4" s="1"/>
  <c r="L462" i="1"/>
  <c r="L457" i="4" s="1"/>
  <c r="D462" i="1"/>
  <c r="D457" i="4" s="1"/>
  <c r="C462" i="1"/>
  <c r="C457" i="4" s="1"/>
  <c r="B462" i="1"/>
  <c r="G463" i="1" l="1"/>
  <c r="G458" i="4" s="1"/>
  <c r="E462" i="1"/>
  <c r="J463" i="1" s="1"/>
  <c r="J458" i="4" s="1"/>
  <c r="B457" i="4"/>
  <c r="J464" i="1"/>
  <c r="J459" i="4" s="1"/>
  <c r="E458" i="4"/>
  <c r="H461" i="1"/>
  <c r="H456" i="4" s="1"/>
  <c r="K461" i="1"/>
  <c r="K456" i="4" s="1"/>
  <c r="L461" i="1"/>
  <c r="L456" i="4" s="1"/>
  <c r="G462" i="1" l="1"/>
  <c r="G457" i="4" s="1"/>
  <c r="I463" i="1"/>
  <c r="I458" i="4" s="1"/>
  <c r="E457" i="4"/>
  <c r="D461" i="1"/>
  <c r="D456" i="4" s="1"/>
  <c r="C461" i="1"/>
  <c r="C456" i="4" s="1"/>
  <c r="B461" i="1"/>
  <c r="B456" i="4" s="1"/>
  <c r="E461" i="1" l="1"/>
  <c r="H460" i="1"/>
  <c r="H455" i="4" s="1"/>
  <c r="K460" i="1"/>
  <c r="K455" i="4" s="1"/>
  <c r="L460" i="1"/>
  <c r="L455" i="4" s="1"/>
  <c r="D460" i="1"/>
  <c r="C460" i="1"/>
  <c r="C455" i="4" s="1"/>
  <c r="B460" i="1"/>
  <c r="B455" i="4" s="1"/>
  <c r="E460" i="1" l="1"/>
  <c r="G460" i="1" s="1"/>
  <c r="G455" i="4" s="1"/>
  <c r="D455" i="4"/>
  <c r="J462" i="1"/>
  <c r="J457" i="4" s="1"/>
  <c r="E456" i="4"/>
  <c r="G461" i="1"/>
  <c r="G456" i="4" s="1"/>
  <c r="I462" i="1"/>
  <c r="I457" i="4" s="1"/>
  <c r="H459" i="1"/>
  <c r="H454" i="4" s="1"/>
  <c r="K459" i="1"/>
  <c r="K454" i="4" s="1"/>
  <c r="L459" i="1"/>
  <c r="L454" i="4" s="1"/>
  <c r="D459" i="1"/>
  <c r="D454" i="4" s="1"/>
  <c r="C459" i="1"/>
  <c r="C454" i="4" s="1"/>
  <c r="B459" i="1"/>
  <c r="B454" i="4" s="1"/>
  <c r="J461" i="1" l="1"/>
  <c r="J456" i="4" s="1"/>
  <c r="I461" i="1"/>
  <c r="I456" i="4" s="1"/>
  <c r="E455" i="4"/>
  <c r="E459" i="1"/>
  <c r="I460" i="1" s="1"/>
  <c r="I455" i="4" s="1"/>
  <c r="H458" i="1"/>
  <c r="H453" i="4" s="1"/>
  <c r="K458" i="1"/>
  <c r="K453" i="4" s="1"/>
  <c r="L458" i="1"/>
  <c r="L453" i="4" s="1"/>
  <c r="D458" i="1"/>
  <c r="D453" i="4" s="1"/>
  <c r="C458" i="1"/>
  <c r="B458" i="1"/>
  <c r="B453" i="4" s="1"/>
  <c r="G459" i="1" l="1"/>
  <c r="G454" i="4" s="1"/>
  <c r="E454" i="4"/>
  <c r="E458" i="1"/>
  <c r="I459" i="1" s="1"/>
  <c r="I454" i="4" s="1"/>
  <c r="C453" i="4"/>
  <c r="J460" i="1"/>
  <c r="J455" i="4" s="1"/>
  <c r="H457" i="1"/>
  <c r="H452" i="4" s="1"/>
  <c r="K457" i="1"/>
  <c r="K452" i="4" s="1"/>
  <c r="L457" i="1"/>
  <c r="L452" i="4" s="1"/>
  <c r="D457" i="1"/>
  <c r="D452" i="4" s="1"/>
  <c r="C457" i="1"/>
  <c r="C452" i="4" s="1"/>
  <c r="B457" i="1"/>
  <c r="B452" i="4" s="1"/>
  <c r="G458" i="1" l="1"/>
  <c r="G453" i="4" s="1"/>
  <c r="J459" i="1"/>
  <c r="J454" i="4" s="1"/>
  <c r="E453" i="4"/>
  <c r="E457" i="1"/>
  <c r="H456" i="1"/>
  <c r="H451" i="4" s="1"/>
  <c r="K456" i="1"/>
  <c r="K451" i="4" s="1"/>
  <c r="L456" i="1"/>
  <c r="L451" i="4" s="1"/>
  <c r="D456" i="1"/>
  <c r="D451" i="4" s="1"/>
  <c r="C456" i="1"/>
  <c r="C451" i="4" s="1"/>
  <c r="B456" i="1"/>
  <c r="B451" i="4" s="1"/>
  <c r="I458" i="1" l="1"/>
  <c r="I453" i="4" s="1"/>
  <c r="E452" i="4"/>
  <c r="J458" i="1"/>
  <c r="J453" i="4" s="1"/>
  <c r="G457" i="1"/>
  <c r="G452" i="4" s="1"/>
  <c r="E456" i="1"/>
  <c r="J457" i="1" s="1"/>
  <c r="J452" i="4" s="1"/>
  <c r="H455" i="1"/>
  <c r="H450" i="4" s="1"/>
  <c r="K455" i="1"/>
  <c r="K450" i="4" s="1"/>
  <c r="L455" i="1"/>
  <c r="L450" i="4" s="1"/>
  <c r="D455" i="1"/>
  <c r="D450" i="4" s="1"/>
  <c r="C455" i="1"/>
  <c r="C450" i="4" s="1"/>
  <c r="B455" i="1"/>
  <c r="B450" i="4" s="1"/>
  <c r="G456" i="1" l="1"/>
  <c r="G451" i="4" s="1"/>
  <c r="I457" i="1"/>
  <c r="I452" i="4" s="1"/>
  <c r="E451" i="4"/>
  <c r="E455" i="1"/>
  <c r="J456" i="1" s="1"/>
  <c r="J451" i="4" s="1"/>
  <c r="H454" i="1"/>
  <c r="H449" i="4" s="1"/>
  <c r="K454" i="1"/>
  <c r="K449" i="4" s="1"/>
  <c r="L454" i="1"/>
  <c r="L449" i="4" s="1"/>
  <c r="D454" i="1"/>
  <c r="D449" i="4" s="1"/>
  <c r="C454" i="1"/>
  <c r="C449" i="4" s="1"/>
  <c r="B454" i="1"/>
  <c r="B449" i="4" s="1"/>
  <c r="G455" i="1" l="1"/>
  <c r="G450" i="4" s="1"/>
  <c r="E450" i="4"/>
  <c r="I456" i="1"/>
  <c r="I451" i="4" s="1"/>
  <c r="E454" i="1"/>
  <c r="H453" i="1"/>
  <c r="H448" i="4" s="1"/>
  <c r="K453" i="1"/>
  <c r="K448" i="4" s="1"/>
  <c r="L453" i="1"/>
  <c r="L448" i="4" s="1"/>
  <c r="D453" i="1"/>
  <c r="D448" i="4" s="1"/>
  <c r="C453" i="1"/>
  <c r="C448" i="4" s="1"/>
  <c r="B453" i="1"/>
  <c r="B448" i="4" s="1"/>
  <c r="J455" i="1" l="1"/>
  <c r="J450" i="4" s="1"/>
  <c r="E449" i="4"/>
  <c r="I455" i="1"/>
  <c r="I450" i="4" s="1"/>
  <c r="G454" i="1"/>
  <c r="G449" i="4" s="1"/>
  <c r="E453" i="1"/>
  <c r="I454" i="1" s="1"/>
  <c r="I449" i="4" s="1"/>
  <c r="H452" i="1"/>
  <c r="H447" i="4" s="1"/>
  <c r="K452" i="1"/>
  <c r="K447" i="4" s="1"/>
  <c r="L452" i="1"/>
  <c r="L447" i="4" s="1"/>
  <c r="D452" i="1"/>
  <c r="D447" i="4" s="1"/>
  <c r="C452" i="1"/>
  <c r="C447" i="4" s="1"/>
  <c r="B452" i="1"/>
  <c r="B447" i="4" s="1"/>
  <c r="J454" i="1" l="1"/>
  <c r="J449" i="4" s="1"/>
  <c r="G453" i="1"/>
  <c r="G448" i="4" s="1"/>
  <c r="E448" i="4"/>
  <c r="E452" i="1"/>
  <c r="H451" i="1"/>
  <c r="H446" i="4" s="1"/>
  <c r="K451" i="1"/>
  <c r="K446" i="4" s="1"/>
  <c r="L451" i="1"/>
  <c r="L446" i="4" s="1"/>
  <c r="D451" i="1"/>
  <c r="D446" i="4" s="1"/>
  <c r="C451" i="1"/>
  <c r="C446" i="4" s="1"/>
  <c r="B451" i="1"/>
  <c r="B446" i="4" s="1"/>
  <c r="J453" i="1" l="1"/>
  <c r="J448" i="4" s="1"/>
  <c r="E447" i="4"/>
  <c r="I453" i="1"/>
  <c r="I448" i="4" s="1"/>
  <c r="G452" i="1"/>
  <c r="G447" i="4" s="1"/>
  <c r="E451" i="1"/>
  <c r="G451" i="1" s="1"/>
  <c r="G446" i="4" s="1"/>
  <c r="H450" i="1"/>
  <c r="H445" i="4" s="1"/>
  <c r="K450" i="1"/>
  <c r="K445" i="4" s="1"/>
  <c r="L450" i="1"/>
  <c r="L445" i="4" s="1"/>
  <c r="D450" i="1"/>
  <c r="D445" i="4" s="1"/>
  <c r="C450" i="1"/>
  <c r="C445" i="4" s="1"/>
  <c r="B450" i="1"/>
  <c r="B445" i="4" s="1"/>
  <c r="I452" i="1" l="1"/>
  <c r="I447" i="4" s="1"/>
  <c r="J452" i="1"/>
  <c r="J447" i="4" s="1"/>
  <c r="E446" i="4"/>
  <c r="E450" i="1"/>
  <c r="H449" i="1"/>
  <c r="H444" i="4" s="1"/>
  <c r="K449" i="1"/>
  <c r="K444" i="4" s="1"/>
  <c r="L449" i="1"/>
  <c r="L444" i="4" s="1"/>
  <c r="D449" i="1"/>
  <c r="D444" i="4" s="1"/>
  <c r="C449" i="1"/>
  <c r="C444" i="4" s="1"/>
  <c r="B449" i="1"/>
  <c r="B444" i="4" s="1"/>
  <c r="J451" i="1" l="1"/>
  <c r="J446" i="4" s="1"/>
  <c r="E445" i="4"/>
  <c r="I451" i="1"/>
  <c r="I446" i="4" s="1"/>
  <c r="G450" i="1"/>
  <c r="G445" i="4" s="1"/>
  <c r="E449" i="1"/>
  <c r="J450" i="1" s="1"/>
  <c r="J445" i="4" s="1"/>
  <c r="H448" i="1"/>
  <c r="H443" i="4" s="1"/>
  <c r="K448" i="1"/>
  <c r="K443" i="4" s="1"/>
  <c r="L448" i="1"/>
  <c r="L443" i="4" s="1"/>
  <c r="D448" i="1"/>
  <c r="D443" i="4" s="1"/>
  <c r="C448" i="1"/>
  <c r="C443" i="4" s="1"/>
  <c r="B448" i="1"/>
  <c r="B443" i="4" s="1"/>
  <c r="G449" i="1" l="1"/>
  <c r="G444" i="4" s="1"/>
  <c r="I450" i="1"/>
  <c r="I445" i="4" s="1"/>
  <c r="E444" i="4"/>
  <c r="E448" i="1"/>
  <c r="H447" i="1"/>
  <c r="H442" i="4" s="1"/>
  <c r="K447" i="1"/>
  <c r="K442" i="4" s="1"/>
  <c r="L447" i="1"/>
  <c r="L442" i="4" s="1"/>
  <c r="D447" i="1"/>
  <c r="D442" i="4" s="1"/>
  <c r="C447" i="1"/>
  <c r="C442" i="4" s="1"/>
  <c r="B447" i="1"/>
  <c r="B442" i="4" s="1"/>
  <c r="J449" i="1" l="1"/>
  <c r="J444" i="4" s="1"/>
  <c r="E443" i="4"/>
  <c r="I449" i="1"/>
  <c r="I444" i="4" s="1"/>
  <c r="G448" i="1"/>
  <c r="G443" i="4" s="1"/>
  <c r="E447" i="1"/>
  <c r="I448" i="1" s="1"/>
  <c r="I443" i="4" s="1"/>
  <c r="D446" i="1"/>
  <c r="D441" i="4" s="1"/>
  <c r="C446" i="1"/>
  <c r="C441" i="4" s="1"/>
  <c r="B446" i="1"/>
  <c r="B441" i="4" s="1"/>
  <c r="G447" i="1" l="1"/>
  <c r="G442" i="4" s="1"/>
  <c r="J448" i="1"/>
  <c r="J443" i="4" s="1"/>
  <c r="E442" i="4"/>
  <c r="E446" i="1"/>
  <c r="H446" i="1"/>
  <c r="H441" i="4" s="1"/>
  <c r="K446" i="1"/>
  <c r="K441" i="4" s="1"/>
  <c r="L446" i="1"/>
  <c r="L441" i="4" s="1"/>
  <c r="G446" i="1" l="1"/>
  <c r="G441" i="4" s="1"/>
  <c r="E441" i="4"/>
  <c r="I447" i="1"/>
  <c r="I442" i="4" s="1"/>
  <c r="J447" i="1"/>
  <c r="J442" i="4" s="1"/>
  <c r="H445" i="1"/>
  <c r="H440" i="4" s="1"/>
  <c r="K445" i="1"/>
  <c r="K440" i="4" s="1"/>
  <c r="L445" i="1"/>
  <c r="L440" i="4" s="1"/>
  <c r="D445" i="1"/>
  <c r="D440" i="4" s="1"/>
  <c r="C445" i="1"/>
  <c r="C440" i="4" s="1"/>
  <c r="B445" i="1"/>
  <c r="B440" i="4" s="1"/>
  <c r="E445" i="1" l="1"/>
  <c r="H444" i="1"/>
  <c r="H439" i="4" s="1"/>
  <c r="K444" i="1"/>
  <c r="K439" i="4" s="1"/>
  <c r="L444" i="1"/>
  <c r="L439" i="4" s="1"/>
  <c r="D444" i="1"/>
  <c r="D439" i="4" s="1"/>
  <c r="C444" i="1"/>
  <c r="C439" i="4" s="1"/>
  <c r="B444" i="1"/>
  <c r="B439" i="4" s="1"/>
  <c r="I446" i="1" l="1"/>
  <c r="I441" i="4" s="1"/>
  <c r="E440" i="4"/>
  <c r="J446" i="1"/>
  <c r="J441" i="4" s="1"/>
  <c r="G445" i="1"/>
  <c r="G440" i="4" s="1"/>
  <c r="E444" i="1"/>
  <c r="G444" i="1" s="1"/>
  <c r="G439" i="4" s="1"/>
  <c r="H443" i="1"/>
  <c r="H438" i="4" s="1"/>
  <c r="K443" i="1"/>
  <c r="K438" i="4" s="1"/>
  <c r="L443" i="1"/>
  <c r="L438" i="4" s="1"/>
  <c r="D443" i="1"/>
  <c r="D438" i="4" s="1"/>
  <c r="C443" i="1"/>
  <c r="C438" i="4" s="1"/>
  <c r="B443" i="1"/>
  <c r="B438" i="4" s="1"/>
  <c r="I445" i="1" l="1"/>
  <c r="I440" i="4" s="1"/>
  <c r="J445" i="1"/>
  <c r="J440" i="4" s="1"/>
  <c r="E439" i="4"/>
  <c r="E443" i="1"/>
  <c r="H442" i="1"/>
  <c r="H437" i="4" s="1"/>
  <c r="K442" i="1"/>
  <c r="K437" i="4" s="1"/>
  <c r="L442" i="1"/>
  <c r="L437" i="4" s="1"/>
  <c r="D442" i="1"/>
  <c r="D437" i="4" s="1"/>
  <c r="C442" i="1"/>
  <c r="C437" i="4" s="1"/>
  <c r="B442" i="1"/>
  <c r="B437" i="4" s="1"/>
  <c r="J444" i="1" l="1"/>
  <c r="J439" i="4" s="1"/>
  <c r="E438" i="4"/>
  <c r="G443" i="1"/>
  <c r="G438" i="4" s="1"/>
  <c r="I444" i="1"/>
  <c r="I439" i="4" s="1"/>
  <c r="E442" i="1"/>
  <c r="J443" i="1" s="1"/>
  <c r="J438" i="4" s="1"/>
  <c r="D441" i="1"/>
  <c r="D436" i="4" s="1"/>
  <c r="C441" i="1"/>
  <c r="C436" i="4" s="1"/>
  <c r="B441" i="1"/>
  <c r="B436" i="4" s="1"/>
  <c r="I443" i="1" l="1"/>
  <c r="I438" i="4" s="1"/>
  <c r="G442" i="1"/>
  <c r="G437" i="4" s="1"/>
  <c r="E437" i="4"/>
  <c r="E441" i="1"/>
  <c r="J442" i="1" s="1"/>
  <c r="J437" i="4" s="1"/>
  <c r="H441" i="1"/>
  <c r="H436" i="4" s="1"/>
  <c r="K441" i="1"/>
  <c r="K436" i="4" s="1"/>
  <c r="L441" i="1"/>
  <c r="L436" i="4" s="1"/>
  <c r="I442" i="1" l="1"/>
  <c r="I437" i="4" s="1"/>
  <c r="E436" i="4"/>
  <c r="G441" i="1"/>
  <c r="G436" i="4" s="1"/>
  <c r="D440" i="1"/>
  <c r="D435" i="4" s="1"/>
  <c r="C440" i="1"/>
  <c r="C435" i="4" s="1"/>
  <c r="B440" i="1"/>
  <c r="B435" i="4" s="1"/>
  <c r="H440" i="1" l="1"/>
  <c r="H435" i="4" s="1"/>
  <c r="K440" i="1"/>
  <c r="K435" i="4" s="1"/>
  <c r="L440" i="1"/>
  <c r="L435" i="4" s="1"/>
  <c r="E440" i="1"/>
  <c r="E435" i="4" s="1"/>
  <c r="I441" i="1" l="1"/>
  <c r="I436" i="4" s="1"/>
  <c r="J441" i="1"/>
  <c r="J436" i="4" s="1"/>
  <c r="G440" i="1"/>
  <c r="G435" i="4" s="1"/>
  <c r="D439" i="1"/>
  <c r="D434" i="4" s="1"/>
  <c r="C439" i="1"/>
  <c r="C434" i="4" s="1"/>
  <c r="B439" i="1"/>
  <c r="B434" i="4" s="1"/>
  <c r="H439" i="1"/>
  <c r="H434" i="4" s="1"/>
  <c r="K439" i="1"/>
  <c r="K434" i="4" s="1"/>
  <c r="L439" i="1"/>
  <c r="L434" i="4" s="1"/>
  <c r="E439" i="1" l="1"/>
  <c r="H438" i="1"/>
  <c r="H433" i="4" s="1"/>
  <c r="K438" i="1"/>
  <c r="K433" i="4" s="1"/>
  <c r="L438" i="1"/>
  <c r="L433" i="4" s="1"/>
  <c r="D438" i="1"/>
  <c r="D433" i="4" s="1"/>
  <c r="C438" i="1"/>
  <c r="C433" i="4" s="1"/>
  <c r="B438" i="1"/>
  <c r="B433" i="4" s="1"/>
  <c r="I440" i="1" l="1"/>
  <c r="I435" i="4" s="1"/>
  <c r="E434" i="4"/>
  <c r="J440" i="1"/>
  <c r="J435" i="4" s="1"/>
  <c r="G439" i="1"/>
  <c r="G434" i="4" s="1"/>
  <c r="E438" i="1"/>
  <c r="I439" i="1" s="1"/>
  <c r="I434" i="4" s="1"/>
  <c r="C437" i="1"/>
  <c r="C432" i="4" s="1"/>
  <c r="B437" i="1"/>
  <c r="B432" i="4" s="1"/>
  <c r="D437" i="1"/>
  <c r="D432" i="4" s="1"/>
  <c r="H437" i="1"/>
  <c r="H432" i="4" s="1"/>
  <c r="K437" i="1"/>
  <c r="K432" i="4" s="1"/>
  <c r="L437" i="1"/>
  <c r="L432" i="4" s="1"/>
  <c r="J439" i="1" l="1"/>
  <c r="J434" i="4" s="1"/>
  <c r="G438" i="1"/>
  <c r="G433" i="4" s="1"/>
  <c r="E433" i="4"/>
  <c r="E437" i="1"/>
  <c r="E432" i="4" s="1"/>
  <c r="H436" i="1"/>
  <c r="H431" i="4" s="1"/>
  <c r="K436" i="1"/>
  <c r="K431" i="4" s="1"/>
  <c r="L436" i="1"/>
  <c r="L431" i="4" s="1"/>
  <c r="D436" i="1"/>
  <c r="D431" i="4" s="1"/>
  <c r="C436" i="1"/>
  <c r="C431" i="4" s="1"/>
  <c r="B436" i="1"/>
  <c r="B431" i="4" s="1"/>
  <c r="E436" i="1" l="1"/>
  <c r="I437" i="1" s="1"/>
  <c r="I432" i="4" s="1"/>
  <c r="G437" i="1"/>
  <c r="G432" i="4" s="1"/>
  <c r="J438" i="1"/>
  <c r="J433" i="4" s="1"/>
  <c r="I438" i="1"/>
  <c r="I433" i="4" s="1"/>
  <c r="J437" i="1"/>
  <c r="J432" i="4" s="1"/>
  <c r="H435" i="1"/>
  <c r="H430" i="4" s="1"/>
  <c r="K435" i="1"/>
  <c r="K430" i="4" s="1"/>
  <c r="L435" i="1"/>
  <c r="L430" i="4" s="1"/>
  <c r="D435" i="1"/>
  <c r="D430" i="4" s="1"/>
  <c r="C435" i="1"/>
  <c r="C430" i="4" s="1"/>
  <c r="B435" i="1"/>
  <c r="B430" i="4" s="1"/>
  <c r="G436" i="1" l="1"/>
  <c r="G431" i="4" s="1"/>
  <c r="E431" i="4"/>
  <c r="E435" i="1"/>
  <c r="H434" i="1"/>
  <c r="H429" i="4" s="1"/>
  <c r="K434" i="1"/>
  <c r="K429" i="4" s="1"/>
  <c r="L434" i="1"/>
  <c r="L429" i="4" s="1"/>
  <c r="D434" i="1"/>
  <c r="D429" i="4" s="1"/>
  <c r="C434" i="1"/>
  <c r="C429" i="4" s="1"/>
  <c r="B434" i="1"/>
  <c r="B429" i="4" s="1"/>
  <c r="I436" i="1" l="1"/>
  <c r="I431" i="4" s="1"/>
  <c r="E430" i="4"/>
  <c r="G435" i="1"/>
  <c r="G430" i="4" s="1"/>
  <c r="J436" i="1"/>
  <c r="J431" i="4" s="1"/>
  <c r="E434" i="1"/>
  <c r="I435" i="1" s="1"/>
  <c r="I430" i="4" s="1"/>
  <c r="L433" i="1"/>
  <c r="L428" i="4" s="1"/>
  <c r="K433" i="1"/>
  <c r="K428" i="4" s="1"/>
  <c r="H433" i="1"/>
  <c r="H428" i="4" s="1"/>
  <c r="J435" i="1" l="1"/>
  <c r="J430" i="4" s="1"/>
  <c r="G434" i="1"/>
  <c r="G429" i="4" s="1"/>
  <c r="E429" i="4"/>
  <c r="L432" i="1"/>
  <c r="L427" i="4" s="1"/>
  <c r="K432" i="1"/>
  <c r="K427" i="4" s="1"/>
  <c r="H432" i="1"/>
  <c r="H427" i="4" s="1"/>
  <c r="E432" i="1" l="1"/>
  <c r="E427" i="4" s="1"/>
  <c r="E433" i="1"/>
  <c r="E428" i="4" s="1"/>
  <c r="J434" i="1" l="1"/>
  <c r="J429" i="4" s="1"/>
  <c r="I433" i="1"/>
  <c r="I428" i="4" s="1"/>
  <c r="G433" i="1"/>
  <c r="G428" i="4" s="1"/>
  <c r="I434" i="1"/>
  <c r="I429" i="4" s="1"/>
  <c r="J433" i="1"/>
  <c r="J428" i="4" s="1"/>
  <c r="G432" i="1"/>
  <c r="G427" i="4" s="1"/>
  <c r="H431" i="1"/>
  <c r="H426" i="4" s="1"/>
  <c r="K431" i="1"/>
  <c r="K426" i="4" s="1"/>
  <c r="L431" i="1"/>
  <c r="L426" i="4" s="1"/>
  <c r="D431" i="1"/>
  <c r="D426" i="4" s="1"/>
  <c r="C431" i="1"/>
  <c r="C426" i="4" s="1"/>
  <c r="B431" i="1"/>
  <c r="B426" i="4" s="1"/>
  <c r="E431" i="1" l="1"/>
  <c r="G431" i="1" s="1"/>
  <c r="G426" i="4" s="1"/>
  <c r="H430" i="1"/>
  <c r="H425" i="4" s="1"/>
  <c r="K430" i="1"/>
  <c r="K425" i="4" s="1"/>
  <c r="L430" i="1"/>
  <c r="L425" i="4" s="1"/>
  <c r="D430" i="1"/>
  <c r="D425" i="4" s="1"/>
  <c r="C430" i="1"/>
  <c r="C425" i="4" s="1"/>
  <c r="B430" i="1"/>
  <c r="B425" i="4" s="1"/>
  <c r="I432" i="1" l="1"/>
  <c r="I427" i="4" s="1"/>
  <c r="E426" i="4"/>
  <c r="J432" i="1"/>
  <c r="J427" i="4" s="1"/>
  <c r="E430" i="1"/>
  <c r="E425" i="4" s="1"/>
  <c r="H429" i="1"/>
  <c r="H424" i="4" s="1"/>
  <c r="K429" i="1"/>
  <c r="K424" i="4" s="1"/>
  <c r="L429" i="1"/>
  <c r="L424" i="4" s="1"/>
  <c r="D429" i="1"/>
  <c r="D424" i="4" s="1"/>
  <c r="C429" i="1"/>
  <c r="C424" i="4" s="1"/>
  <c r="B429" i="1"/>
  <c r="B424" i="4" s="1"/>
  <c r="I431" i="1" l="1"/>
  <c r="I426" i="4" s="1"/>
  <c r="J431" i="1"/>
  <c r="J426" i="4" s="1"/>
  <c r="G430" i="1"/>
  <c r="G425" i="4" s="1"/>
  <c r="E429" i="1"/>
  <c r="H428" i="1"/>
  <c r="H423" i="4" s="1"/>
  <c r="K428" i="1"/>
  <c r="K423" i="4" s="1"/>
  <c r="L428" i="1"/>
  <c r="L423" i="4" s="1"/>
  <c r="D428" i="1"/>
  <c r="D423" i="4" s="1"/>
  <c r="C428" i="1"/>
  <c r="C423" i="4" s="1"/>
  <c r="B428" i="1"/>
  <c r="B423" i="4" s="1"/>
  <c r="I430" i="1" l="1"/>
  <c r="I425" i="4" s="1"/>
  <c r="E424" i="4"/>
  <c r="J430" i="1"/>
  <c r="J425" i="4" s="1"/>
  <c r="G429" i="1"/>
  <c r="G424" i="4" s="1"/>
  <c r="E428" i="1"/>
  <c r="H427" i="1"/>
  <c r="H422" i="4" s="1"/>
  <c r="K427" i="1"/>
  <c r="K422" i="4" s="1"/>
  <c r="L427" i="1"/>
  <c r="L422" i="4" s="1"/>
  <c r="D427" i="1"/>
  <c r="D422" i="4" s="1"/>
  <c r="C427" i="1"/>
  <c r="C422" i="4" s="1"/>
  <c r="B427" i="1"/>
  <c r="B422" i="4" s="1"/>
  <c r="J429" i="1" l="1"/>
  <c r="J424" i="4" s="1"/>
  <c r="E423" i="4"/>
  <c r="I429" i="1"/>
  <c r="I424" i="4" s="1"/>
  <c r="G428" i="1"/>
  <c r="G423" i="4" s="1"/>
  <c r="E427" i="1"/>
  <c r="E422" i="4" s="1"/>
  <c r="H426" i="1"/>
  <c r="H421" i="4" s="1"/>
  <c r="K426" i="1"/>
  <c r="K421" i="4" s="1"/>
  <c r="L426" i="1"/>
  <c r="L421" i="4" s="1"/>
  <c r="D426" i="1"/>
  <c r="D421" i="4" s="1"/>
  <c r="C426" i="1"/>
  <c r="C421" i="4" s="1"/>
  <c r="B426" i="1"/>
  <c r="B421" i="4" s="1"/>
  <c r="G427" i="1" l="1"/>
  <c r="G422" i="4" s="1"/>
  <c r="I428" i="1"/>
  <c r="I423" i="4" s="1"/>
  <c r="J428" i="1"/>
  <c r="J423" i="4" s="1"/>
  <c r="E426" i="1"/>
  <c r="H425" i="1"/>
  <c r="H420" i="4" s="1"/>
  <c r="K425" i="1"/>
  <c r="K420" i="4" s="1"/>
  <c r="L425" i="1"/>
  <c r="L420" i="4" s="1"/>
  <c r="D425" i="1"/>
  <c r="D420" i="4" s="1"/>
  <c r="C425" i="1"/>
  <c r="C420" i="4" s="1"/>
  <c r="B425" i="1"/>
  <c r="B420" i="4" s="1"/>
  <c r="D424" i="1"/>
  <c r="D419" i="4" s="1"/>
  <c r="C424" i="1"/>
  <c r="C419" i="4" s="1"/>
  <c r="B424" i="1"/>
  <c r="B419" i="4" s="1"/>
  <c r="D423" i="1"/>
  <c r="D418" i="4" s="1"/>
  <c r="C423" i="1"/>
  <c r="C418" i="4" s="1"/>
  <c r="B423" i="1"/>
  <c r="B418" i="4" s="1"/>
  <c r="G426" i="1" l="1"/>
  <c r="G421" i="4" s="1"/>
  <c r="E421" i="4"/>
  <c r="I427" i="1"/>
  <c r="I422" i="4" s="1"/>
  <c r="J427" i="1"/>
  <c r="J422" i="4" s="1"/>
  <c r="E425" i="1"/>
  <c r="J426" i="1" s="1"/>
  <c r="J421" i="4" s="1"/>
  <c r="L424" i="1"/>
  <c r="L419" i="4" s="1"/>
  <c r="K424" i="1"/>
  <c r="K419" i="4" s="1"/>
  <c r="H424" i="1"/>
  <c r="H419" i="4" s="1"/>
  <c r="L423" i="1"/>
  <c r="L418" i="4" s="1"/>
  <c r="K423" i="1"/>
  <c r="K418" i="4" s="1"/>
  <c r="H423" i="1"/>
  <c r="H418" i="4" s="1"/>
  <c r="E424" i="1"/>
  <c r="E423" i="1"/>
  <c r="E418" i="4" s="1"/>
  <c r="G425" i="1" l="1"/>
  <c r="G420" i="4" s="1"/>
  <c r="G424" i="1"/>
  <c r="G419" i="4" s="1"/>
  <c r="E419" i="4"/>
  <c r="I426" i="1"/>
  <c r="I421" i="4" s="1"/>
  <c r="E420" i="4"/>
  <c r="I425" i="1"/>
  <c r="I420" i="4" s="1"/>
  <c r="J425" i="1"/>
  <c r="J420" i="4" s="1"/>
  <c r="I424" i="1"/>
  <c r="I419" i="4" s="1"/>
  <c r="G423" i="1"/>
  <c r="G418" i="4" s="1"/>
  <c r="J424" i="1"/>
  <c r="J419" i="4" s="1"/>
  <c r="D422" i="1" l="1"/>
  <c r="D417" i="4" s="1"/>
  <c r="C422" i="1"/>
  <c r="C417" i="4" s="1"/>
  <c r="B422" i="1"/>
  <c r="B417" i="4" s="1"/>
  <c r="E422" i="1" l="1"/>
  <c r="G422" i="1" s="1"/>
  <c r="G417" i="4" s="1"/>
  <c r="H422" i="1"/>
  <c r="H417" i="4" s="1"/>
  <c r="K422" i="1"/>
  <c r="K417" i="4" s="1"/>
  <c r="L422" i="1"/>
  <c r="L417" i="4" s="1"/>
  <c r="J423" i="1" l="1"/>
  <c r="J418" i="4" s="1"/>
  <c r="E417" i="4"/>
  <c r="I423" i="1"/>
  <c r="I418" i="4" s="1"/>
  <c r="D421" i="1"/>
  <c r="D416" i="4" s="1"/>
  <c r="C421" i="1"/>
  <c r="C416" i="4" s="1"/>
  <c r="B421" i="1"/>
  <c r="B416" i="4" s="1"/>
  <c r="E421" i="1" l="1"/>
  <c r="E416" i="4" s="1"/>
  <c r="H421" i="1"/>
  <c r="H416" i="4" s="1"/>
  <c r="K421" i="1"/>
  <c r="K416" i="4" s="1"/>
  <c r="L421" i="1"/>
  <c r="L416" i="4" s="1"/>
  <c r="G421" i="1" l="1"/>
  <c r="G416" i="4" s="1"/>
  <c r="J422" i="1"/>
  <c r="J417" i="4" s="1"/>
  <c r="I422" i="1"/>
  <c r="I417" i="4" s="1"/>
  <c r="H420" i="1"/>
  <c r="H415" i="4" s="1"/>
  <c r="K420" i="1"/>
  <c r="K415" i="4" s="1"/>
  <c r="L420" i="1"/>
  <c r="L415" i="4" s="1"/>
  <c r="D420" i="1"/>
  <c r="D415" i="4" s="1"/>
  <c r="C420" i="1"/>
  <c r="C415" i="4" s="1"/>
  <c r="B420" i="1"/>
  <c r="B415" i="4" s="1"/>
  <c r="E420" i="1" l="1"/>
  <c r="G420" i="1" s="1"/>
  <c r="G415" i="4" s="1"/>
  <c r="D419" i="1"/>
  <c r="D414" i="4" s="1"/>
  <c r="C419" i="1"/>
  <c r="C414" i="4" s="1"/>
  <c r="B419" i="1"/>
  <c r="B414" i="4" s="1"/>
  <c r="I421" i="1" l="1"/>
  <c r="I416" i="4" s="1"/>
  <c r="E415" i="4"/>
  <c r="J421" i="1"/>
  <c r="J416" i="4" s="1"/>
  <c r="E419" i="1"/>
  <c r="H419" i="1"/>
  <c r="H414" i="4" s="1"/>
  <c r="K419" i="1"/>
  <c r="K414" i="4" s="1"/>
  <c r="L419" i="1"/>
  <c r="L414" i="4" s="1"/>
  <c r="I420" i="1" l="1"/>
  <c r="I415" i="4" s="1"/>
  <c r="E414" i="4"/>
  <c r="G419" i="1"/>
  <c r="G414" i="4" s="1"/>
  <c r="J420" i="1"/>
  <c r="J415" i="4" s="1"/>
  <c r="H418" i="1"/>
  <c r="H413" i="4" s="1"/>
  <c r="K418" i="1"/>
  <c r="K413" i="4" s="1"/>
  <c r="L418" i="1"/>
  <c r="L413" i="4" s="1"/>
  <c r="D418" i="1"/>
  <c r="D413" i="4" s="1"/>
  <c r="C418" i="1"/>
  <c r="C413" i="4" s="1"/>
  <c r="B418" i="1"/>
  <c r="B413" i="4" s="1"/>
  <c r="E418" i="1" l="1"/>
  <c r="I419" i="1" s="1"/>
  <c r="I414" i="4" s="1"/>
  <c r="D417" i="1"/>
  <c r="D412" i="4" s="1"/>
  <c r="C417" i="1"/>
  <c r="C412" i="4" s="1"/>
  <c r="B417" i="1"/>
  <c r="B412" i="4" s="1"/>
  <c r="J419" i="1" l="1"/>
  <c r="J414" i="4" s="1"/>
  <c r="E413" i="4"/>
  <c r="G418" i="1"/>
  <c r="G413" i="4" s="1"/>
  <c r="L417" i="1"/>
  <c r="L412" i="4" s="1"/>
  <c r="K417" i="1"/>
  <c r="K412" i="4" s="1"/>
  <c r="H417" i="1"/>
  <c r="H412" i="4" s="1"/>
  <c r="E417" i="1"/>
  <c r="E412" i="4" s="1"/>
  <c r="I418" i="1" l="1"/>
  <c r="I413" i="4" s="1"/>
  <c r="J418" i="1"/>
  <c r="J413" i="4" s="1"/>
  <c r="G417" i="1"/>
  <c r="G412" i="4" s="1"/>
  <c r="H416" i="1"/>
  <c r="H411" i="4" s="1"/>
  <c r="K416" i="1"/>
  <c r="K411" i="4" s="1"/>
  <c r="L416" i="1"/>
  <c r="L411" i="4" s="1"/>
  <c r="D416" i="1"/>
  <c r="D411" i="4" s="1"/>
  <c r="C416" i="1"/>
  <c r="C411" i="4" s="1"/>
  <c r="B416" i="1"/>
  <c r="B411" i="4" s="1"/>
  <c r="E416" i="1" l="1"/>
  <c r="J417" i="1" s="1"/>
  <c r="J412" i="4" s="1"/>
  <c r="H415" i="1"/>
  <c r="H410" i="4" s="1"/>
  <c r="K415" i="1"/>
  <c r="K410" i="4" s="1"/>
  <c r="L415" i="1"/>
  <c r="L410" i="4" s="1"/>
  <c r="D415" i="1"/>
  <c r="D410" i="4" s="1"/>
  <c r="B415" i="1"/>
  <c r="B410" i="4" s="1"/>
  <c r="I417" i="1" l="1"/>
  <c r="I412" i="4" s="1"/>
  <c r="E411" i="4"/>
  <c r="G416" i="1"/>
  <c r="G411" i="4" s="1"/>
  <c r="E415" i="1"/>
  <c r="I416" i="1" s="1"/>
  <c r="I411" i="4" s="1"/>
  <c r="D414" i="1"/>
  <c r="D409" i="4" s="1"/>
  <c r="C414" i="1"/>
  <c r="C409" i="4" s="1"/>
  <c r="B414" i="1"/>
  <c r="B409" i="4" s="1"/>
  <c r="G415" i="1" l="1"/>
  <c r="G410" i="4" s="1"/>
  <c r="E410" i="4"/>
  <c r="J416" i="1"/>
  <c r="J411" i="4" s="1"/>
  <c r="E414" i="1"/>
  <c r="E409" i="4" s="1"/>
  <c r="H414" i="1"/>
  <c r="H409" i="4" s="1"/>
  <c r="K414" i="1"/>
  <c r="K409" i="4" s="1"/>
  <c r="L414" i="1"/>
  <c r="L409" i="4" s="1"/>
  <c r="J415" i="1" l="1"/>
  <c r="J410" i="4" s="1"/>
  <c r="I415" i="1"/>
  <c r="I410" i="4" s="1"/>
  <c r="G414" i="1"/>
  <c r="G409" i="4" s="1"/>
  <c r="D413" i="1"/>
  <c r="D408" i="4" s="1"/>
  <c r="B413" i="1"/>
  <c r="B408" i="4" s="1"/>
  <c r="E413" i="1" l="1"/>
  <c r="I414" i="1" s="1"/>
  <c r="I409" i="4" s="1"/>
  <c r="H413" i="1"/>
  <c r="H408" i="4" s="1"/>
  <c r="K413" i="1"/>
  <c r="K408" i="4" s="1"/>
  <c r="L413" i="1"/>
  <c r="L408" i="4" s="1"/>
  <c r="J414" i="1" l="1"/>
  <c r="J409" i="4" s="1"/>
  <c r="E408" i="4"/>
  <c r="G413" i="1"/>
  <c r="G408" i="4" s="1"/>
  <c r="H412" i="1"/>
  <c r="H407" i="4" s="1"/>
  <c r="K412" i="1"/>
  <c r="K407" i="4" s="1"/>
  <c r="L412" i="1"/>
  <c r="L407" i="4" s="1"/>
  <c r="D412" i="1"/>
  <c r="D407" i="4" s="1"/>
  <c r="C412" i="1"/>
  <c r="C407" i="4" s="1"/>
  <c r="B412" i="1"/>
  <c r="B407" i="4" s="1"/>
  <c r="E412" i="1" l="1"/>
  <c r="H411" i="1"/>
  <c r="H406" i="4" s="1"/>
  <c r="K411" i="1"/>
  <c r="K406" i="4" s="1"/>
  <c r="L411" i="1"/>
  <c r="L406" i="4" s="1"/>
  <c r="D411" i="1"/>
  <c r="D406" i="4" s="1"/>
  <c r="C411" i="1"/>
  <c r="C406" i="4" s="1"/>
  <c r="B411" i="1"/>
  <c r="B406" i="4" s="1"/>
  <c r="I413" i="1" l="1"/>
  <c r="I408" i="4" s="1"/>
  <c r="E407" i="4"/>
  <c r="J413" i="1"/>
  <c r="J408" i="4" s="1"/>
  <c r="G412" i="1"/>
  <c r="G407" i="4" s="1"/>
  <c r="E411" i="1"/>
  <c r="G411" i="1" s="1"/>
  <c r="G406" i="4" s="1"/>
  <c r="D410" i="1"/>
  <c r="D405" i="4" s="1"/>
  <c r="B410" i="1"/>
  <c r="B405" i="4" s="1"/>
  <c r="J412" i="1" l="1"/>
  <c r="J407" i="4" s="1"/>
  <c r="E406" i="4"/>
  <c r="E410" i="1"/>
  <c r="I412" i="1"/>
  <c r="I407" i="4" s="1"/>
  <c r="H410" i="1"/>
  <c r="H405" i="4" s="1"/>
  <c r="K410" i="1"/>
  <c r="K405" i="4" s="1"/>
  <c r="L410" i="1"/>
  <c r="L405" i="4" s="1"/>
  <c r="J411" i="1" l="1"/>
  <c r="J406" i="4" s="1"/>
  <c r="E405" i="4"/>
  <c r="G410" i="1"/>
  <c r="G405" i="4" s="1"/>
  <c r="I411" i="1"/>
  <c r="I406" i="4" s="1"/>
  <c r="B408" i="1"/>
  <c r="B403" i="4" s="1"/>
  <c r="H409" i="1" l="1"/>
  <c r="H404" i="4" s="1"/>
  <c r="K409" i="1"/>
  <c r="K404" i="4" s="1"/>
  <c r="L409" i="1"/>
  <c r="L404" i="4" s="1"/>
  <c r="D409" i="1"/>
  <c r="D404" i="4" s="1"/>
  <c r="C409" i="1"/>
  <c r="C404" i="4" s="1"/>
  <c r="B409" i="1"/>
  <c r="B404" i="4" s="1"/>
  <c r="E409" i="1" l="1"/>
  <c r="L408" i="1"/>
  <c r="L403" i="4" s="1"/>
  <c r="K408" i="1"/>
  <c r="K403" i="4" s="1"/>
  <c r="H408" i="1"/>
  <c r="H403" i="4" s="1"/>
  <c r="E408" i="1"/>
  <c r="E403" i="4" s="1"/>
  <c r="J410" i="1" l="1"/>
  <c r="J405" i="4" s="1"/>
  <c r="E404" i="4"/>
  <c r="G409" i="1"/>
  <c r="G404" i="4" s="1"/>
  <c r="I410" i="1"/>
  <c r="I405" i="4" s="1"/>
  <c r="I409" i="1"/>
  <c r="I404" i="4" s="1"/>
  <c r="J409" i="1"/>
  <c r="J404" i="4" s="1"/>
  <c r="G408" i="1"/>
  <c r="G403" i="4" s="1"/>
  <c r="H407" i="1"/>
  <c r="H402" i="4" s="1"/>
  <c r="K407" i="1"/>
  <c r="K402" i="4" s="1"/>
  <c r="L407" i="1"/>
  <c r="L402" i="4" s="1"/>
  <c r="D407" i="1"/>
  <c r="D402" i="4" s="1"/>
  <c r="C407" i="1"/>
  <c r="C402" i="4" s="1"/>
  <c r="B407" i="1"/>
  <c r="B402" i="4" s="1"/>
  <c r="E407" i="1" l="1"/>
  <c r="G407" i="1" s="1"/>
  <c r="G402" i="4" s="1"/>
  <c r="H406" i="1"/>
  <c r="H401" i="4" s="1"/>
  <c r="K406" i="1"/>
  <c r="K401" i="4" s="1"/>
  <c r="L406" i="1"/>
  <c r="L401" i="4" s="1"/>
  <c r="D406" i="1"/>
  <c r="D401" i="4" s="1"/>
  <c r="C406" i="1"/>
  <c r="C401" i="4" s="1"/>
  <c r="B406" i="1"/>
  <c r="B401" i="4" s="1"/>
  <c r="J408" i="1" l="1"/>
  <c r="J403" i="4" s="1"/>
  <c r="E402" i="4"/>
  <c r="I408" i="1"/>
  <c r="I403" i="4" s="1"/>
  <c r="E406" i="1"/>
  <c r="H405" i="1"/>
  <c r="H400" i="4" s="1"/>
  <c r="K405" i="1"/>
  <c r="K400" i="4" s="1"/>
  <c r="L405" i="1"/>
  <c r="L400" i="4" s="1"/>
  <c r="D405" i="1"/>
  <c r="D400" i="4" s="1"/>
  <c r="C405" i="1"/>
  <c r="C400" i="4" s="1"/>
  <c r="B405" i="1"/>
  <c r="B400" i="4" s="1"/>
  <c r="I407" i="1" l="1"/>
  <c r="I402" i="4" s="1"/>
  <c r="E401" i="4"/>
  <c r="G406" i="1"/>
  <c r="G401" i="4" s="1"/>
  <c r="J407" i="1"/>
  <c r="J402" i="4" s="1"/>
  <c r="E405" i="1"/>
  <c r="I406" i="1" s="1"/>
  <c r="I401" i="4" s="1"/>
  <c r="H404" i="1"/>
  <c r="H399" i="4" s="1"/>
  <c r="K404" i="1"/>
  <c r="K399" i="4" s="1"/>
  <c r="L404" i="1"/>
  <c r="L399" i="4" s="1"/>
  <c r="D404" i="1"/>
  <c r="D399" i="4" s="1"/>
  <c r="C404" i="1"/>
  <c r="C399" i="4" s="1"/>
  <c r="B404" i="1"/>
  <c r="B399" i="4" s="1"/>
  <c r="J406" i="1" l="1"/>
  <c r="J401" i="4" s="1"/>
  <c r="E400" i="4"/>
  <c r="G405" i="1"/>
  <c r="G400" i="4" s="1"/>
  <c r="E404" i="1"/>
  <c r="H403" i="1"/>
  <c r="H398" i="4" s="1"/>
  <c r="K403" i="1"/>
  <c r="K398" i="4" s="1"/>
  <c r="L403" i="1"/>
  <c r="L398" i="4" s="1"/>
  <c r="D403" i="1"/>
  <c r="D398" i="4" s="1"/>
  <c r="B403" i="1"/>
  <c r="B398" i="4" s="1"/>
  <c r="G404" i="1" l="1"/>
  <c r="G399" i="4" s="1"/>
  <c r="E399" i="4"/>
  <c r="I405" i="1"/>
  <c r="I400" i="4" s="1"/>
  <c r="J405" i="1"/>
  <c r="J400" i="4" s="1"/>
  <c r="E403" i="1"/>
  <c r="J404" i="1" s="1"/>
  <c r="J399" i="4" s="1"/>
  <c r="D402" i="1"/>
  <c r="D397" i="4" s="1"/>
  <c r="C402" i="1"/>
  <c r="C397" i="4" s="1"/>
  <c r="B402" i="1"/>
  <c r="B397" i="4" s="1"/>
  <c r="G403" i="1" l="1"/>
  <c r="G398" i="4" s="1"/>
  <c r="E398" i="4"/>
  <c r="I404" i="1"/>
  <c r="I399" i="4" s="1"/>
  <c r="E402" i="1"/>
  <c r="E397" i="4" s="1"/>
  <c r="H402" i="1"/>
  <c r="H397" i="4" s="1"/>
  <c r="K402" i="1"/>
  <c r="K397" i="4" s="1"/>
  <c r="L402" i="1"/>
  <c r="L397" i="4" s="1"/>
  <c r="G402" i="1" l="1"/>
  <c r="G397" i="4" s="1"/>
  <c r="J403" i="1"/>
  <c r="J398" i="4" s="1"/>
  <c r="I403" i="1"/>
  <c r="I398" i="4" s="1"/>
  <c r="D401" i="1"/>
  <c r="D396" i="4" s="1"/>
  <c r="C401" i="1"/>
  <c r="C396" i="4" s="1"/>
  <c r="B401" i="1"/>
  <c r="B396" i="4" s="1"/>
  <c r="E401" i="1" l="1"/>
  <c r="H401" i="1"/>
  <c r="H396" i="4" s="1"/>
  <c r="K401" i="1"/>
  <c r="K396" i="4" s="1"/>
  <c r="L401" i="1"/>
  <c r="L396" i="4" s="1"/>
  <c r="I402" i="1" l="1"/>
  <c r="I397" i="4" s="1"/>
  <c r="E396" i="4"/>
  <c r="G401" i="1"/>
  <c r="G396" i="4" s="1"/>
  <c r="J402" i="1"/>
  <c r="J397" i="4" s="1"/>
  <c r="L400" i="1"/>
  <c r="L395" i="4" s="1"/>
  <c r="K400" i="1"/>
  <c r="K395" i="4" s="1"/>
  <c r="H400" i="1"/>
  <c r="H395" i="4" s="1"/>
  <c r="E400" i="1"/>
  <c r="E395" i="4" s="1"/>
  <c r="J401" i="1" l="1"/>
  <c r="J396" i="4" s="1"/>
  <c r="I401" i="1"/>
  <c r="I396" i="4" s="1"/>
  <c r="G400" i="1"/>
  <c r="G395" i="4" s="1"/>
  <c r="H399" i="1"/>
  <c r="H394" i="4" s="1"/>
  <c r="K399" i="1"/>
  <c r="K394" i="4" s="1"/>
  <c r="L399" i="1"/>
  <c r="L394" i="4" s="1"/>
  <c r="D399" i="1"/>
  <c r="D394" i="4" s="1"/>
  <c r="C399" i="1"/>
  <c r="C394" i="4" s="1"/>
  <c r="B399" i="1"/>
  <c r="B394" i="4" s="1"/>
  <c r="E399" i="1" l="1"/>
  <c r="H398" i="1"/>
  <c r="H393" i="4" s="1"/>
  <c r="K398" i="1"/>
  <c r="K393" i="4" s="1"/>
  <c r="L398" i="1"/>
  <c r="L393" i="4" s="1"/>
  <c r="D398" i="1"/>
  <c r="D393" i="4" s="1"/>
  <c r="C398" i="1"/>
  <c r="C393" i="4" s="1"/>
  <c r="B398" i="1"/>
  <c r="B393" i="4" s="1"/>
  <c r="J400" i="1" l="1"/>
  <c r="J395" i="4" s="1"/>
  <c r="E394" i="4"/>
  <c r="I400" i="1"/>
  <c r="I395" i="4" s="1"/>
  <c r="G399" i="1"/>
  <c r="G394" i="4" s="1"/>
  <c r="E398" i="1"/>
  <c r="D397" i="1"/>
  <c r="D392" i="4" s="1"/>
  <c r="C397" i="1"/>
  <c r="C392" i="4" s="1"/>
  <c r="B397" i="1"/>
  <c r="B392" i="4" s="1"/>
  <c r="J399" i="1" l="1"/>
  <c r="J394" i="4" s="1"/>
  <c r="E393" i="4"/>
  <c r="E397" i="1"/>
  <c r="I398" i="1" s="1"/>
  <c r="I393" i="4" s="1"/>
  <c r="I399" i="1"/>
  <c r="I394" i="4" s="1"/>
  <c r="G398" i="1"/>
  <c r="G393" i="4" s="1"/>
  <c r="H397" i="1"/>
  <c r="H392" i="4" s="1"/>
  <c r="K397" i="1"/>
  <c r="K392" i="4" s="1"/>
  <c r="L397" i="1"/>
  <c r="L392" i="4" s="1"/>
  <c r="G397" i="1" l="1"/>
  <c r="G392" i="4" s="1"/>
  <c r="E392" i="4"/>
  <c r="J398" i="1"/>
  <c r="J393" i="4" s="1"/>
  <c r="D396" i="1"/>
  <c r="D391" i="4" s="1"/>
  <c r="C396" i="1"/>
  <c r="C391" i="4" s="1"/>
  <c r="B396" i="1"/>
  <c r="E396" i="1" l="1"/>
  <c r="E391" i="4" s="1"/>
  <c r="B391" i="4"/>
  <c r="J397" i="1"/>
  <c r="J392" i="4" s="1"/>
  <c r="I397" i="1"/>
  <c r="I392" i="4" s="1"/>
  <c r="G396" i="1"/>
  <c r="G391" i="4" s="1"/>
  <c r="H396" i="1"/>
  <c r="H391" i="4" s="1"/>
  <c r="K396" i="1"/>
  <c r="K391" i="4" s="1"/>
  <c r="L396" i="1"/>
  <c r="L391" i="4" s="1"/>
  <c r="H395" i="1" l="1"/>
  <c r="H390" i="4" s="1"/>
  <c r="K395" i="1"/>
  <c r="K390" i="4" s="1"/>
  <c r="L395" i="1"/>
  <c r="L390" i="4" s="1"/>
  <c r="D395" i="1"/>
  <c r="D390" i="4" s="1"/>
  <c r="C395" i="1"/>
  <c r="C390" i="4" s="1"/>
  <c r="B395" i="1"/>
  <c r="B390" i="4" s="1"/>
  <c r="E395" i="1" l="1"/>
  <c r="G395" i="1" s="1"/>
  <c r="G390" i="4" s="1"/>
  <c r="D394" i="1"/>
  <c r="D389" i="4" s="1"/>
  <c r="C394" i="1"/>
  <c r="C389" i="4" s="1"/>
  <c r="B394" i="1"/>
  <c r="B389" i="4" s="1"/>
  <c r="J396" i="1" l="1"/>
  <c r="J391" i="4" s="1"/>
  <c r="E390" i="4"/>
  <c r="I396" i="1"/>
  <c r="I391" i="4" s="1"/>
  <c r="H394" i="1"/>
  <c r="H389" i="4" s="1"/>
  <c r="K394" i="1"/>
  <c r="K389" i="4" s="1"/>
  <c r="L394" i="1"/>
  <c r="L389" i="4" s="1"/>
  <c r="E394" i="1"/>
  <c r="E389" i="4" s="1"/>
  <c r="G394" i="1" l="1"/>
  <c r="G389" i="4" s="1"/>
  <c r="J395" i="1"/>
  <c r="J390" i="4" s="1"/>
  <c r="I395" i="1"/>
  <c r="I390" i="4" s="1"/>
  <c r="H393" i="1"/>
  <c r="H388" i="4" s="1"/>
  <c r="K393" i="1"/>
  <c r="K388" i="4" s="1"/>
  <c r="L393" i="1"/>
  <c r="L388" i="4" s="1"/>
  <c r="D393" i="1"/>
  <c r="D388" i="4" s="1"/>
  <c r="C393" i="1"/>
  <c r="C388" i="4" s="1"/>
  <c r="B393" i="1"/>
  <c r="B388" i="4" s="1"/>
  <c r="E393" i="1" l="1"/>
  <c r="K392" i="1"/>
  <c r="K387" i="4" s="1"/>
  <c r="H392" i="1"/>
  <c r="H387" i="4" s="1"/>
  <c r="E392" i="1"/>
  <c r="E387" i="4" s="1"/>
  <c r="I394" i="1" l="1"/>
  <c r="I389" i="4" s="1"/>
  <c r="E388" i="4"/>
  <c r="G393" i="1"/>
  <c r="G388" i="4" s="1"/>
  <c r="J393" i="1"/>
  <c r="J388" i="4" s="1"/>
  <c r="J394" i="1"/>
  <c r="J389" i="4" s="1"/>
  <c r="I393" i="1"/>
  <c r="I388" i="4" s="1"/>
  <c r="G392" i="1"/>
  <c r="G387" i="4" s="1"/>
  <c r="H391" i="1"/>
  <c r="H386" i="4" s="1"/>
  <c r="K391" i="1"/>
  <c r="K386" i="4" s="1"/>
  <c r="L391" i="1"/>
  <c r="L386" i="4" s="1"/>
  <c r="D391" i="1"/>
  <c r="D386" i="4" s="1"/>
  <c r="C391" i="1"/>
  <c r="C386" i="4" s="1"/>
  <c r="B391" i="1"/>
  <c r="B386" i="4" s="1"/>
  <c r="E391" i="1" l="1"/>
  <c r="J392" i="1" s="1"/>
  <c r="J387" i="4" s="1"/>
  <c r="H390" i="1"/>
  <c r="H385" i="4" s="1"/>
  <c r="K390" i="1"/>
  <c r="K385" i="4" s="1"/>
  <c r="L390" i="1"/>
  <c r="L385" i="4" s="1"/>
  <c r="D390" i="1"/>
  <c r="D385" i="4" s="1"/>
  <c r="C390" i="1"/>
  <c r="C385" i="4" s="1"/>
  <c r="B390" i="1"/>
  <c r="B385" i="4" s="1"/>
  <c r="I392" i="1" l="1"/>
  <c r="I387" i="4" s="1"/>
  <c r="E386" i="4"/>
  <c r="E390" i="1"/>
  <c r="G391" i="1"/>
  <c r="G386" i="4" s="1"/>
  <c r="H389" i="1"/>
  <c r="H384" i="4" s="1"/>
  <c r="K389" i="1"/>
  <c r="K384" i="4" s="1"/>
  <c r="L389" i="1"/>
  <c r="L384" i="4" s="1"/>
  <c r="D389" i="1"/>
  <c r="D384" i="4" s="1"/>
  <c r="C389" i="1"/>
  <c r="C384" i="4" s="1"/>
  <c r="B389" i="1"/>
  <c r="B384" i="4" s="1"/>
  <c r="J391" i="1" l="1"/>
  <c r="J386" i="4" s="1"/>
  <c r="E385" i="4"/>
  <c r="G390" i="1"/>
  <c r="G385" i="4" s="1"/>
  <c r="I391" i="1"/>
  <c r="I386" i="4" s="1"/>
  <c r="E389" i="1"/>
  <c r="H388" i="1"/>
  <c r="H383" i="4" s="1"/>
  <c r="K388" i="1"/>
  <c r="K383" i="4" s="1"/>
  <c r="L388" i="1"/>
  <c r="L383" i="4" s="1"/>
  <c r="D388" i="1"/>
  <c r="D383" i="4" s="1"/>
  <c r="C388" i="1"/>
  <c r="C383" i="4" s="1"/>
  <c r="B388" i="1"/>
  <c r="B383" i="4" s="1"/>
  <c r="I390" i="1" l="1"/>
  <c r="I385" i="4" s="1"/>
  <c r="E384" i="4"/>
  <c r="G389" i="1"/>
  <c r="G384" i="4" s="1"/>
  <c r="J390" i="1"/>
  <c r="J385" i="4" s="1"/>
  <c r="E388" i="1"/>
  <c r="J389" i="1" s="1"/>
  <c r="J384" i="4" s="1"/>
  <c r="H387" i="1"/>
  <c r="H382" i="4" s="1"/>
  <c r="K387" i="1"/>
  <c r="K382" i="4" s="1"/>
  <c r="L387" i="1"/>
  <c r="L382" i="4" s="1"/>
  <c r="D387" i="1"/>
  <c r="D382" i="4" s="1"/>
  <c r="C387" i="1"/>
  <c r="C382" i="4" s="1"/>
  <c r="B387" i="1"/>
  <c r="B382" i="4" s="1"/>
  <c r="G386" i="1"/>
  <c r="G381" i="4" s="1"/>
  <c r="H386" i="1"/>
  <c r="H381" i="4" s="1"/>
  <c r="I386" i="1"/>
  <c r="I381" i="4" s="1"/>
  <c r="J386" i="1"/>
  <c r="J381" i="4" s="1"/>
  <c r="K386" i="1"/>
  <c r="K381" i="4" s="1"/>
  <c r="L386" i="1"/>
  <c r="L381" i="4" s="1"/>
  <c r="G385" i="1"/>
  <c r="G380" i="4" s="1"/>
  <c r="H385" i="1"/>
  <c r="H380" i="4" s="1"/>
  <c r="I385" i="1"/>
  <c r="I380" i="4" s="1"/>
  <c r="J385" i="1"/>
  <c r="J380" i="4" s="1"/>
  <c r="K385" i="1"/>
  <c r="K380" i="4" s="1"/>
  <c r="L385" i="1"/>
  <c r="L380" i="4" s="1"/>
  <c r="I389" i="1" l="1"/>
  <c r="I384" i="4" s="1"/>
  <c r="G388" i="1"/>
  <c r="G383" i="4" s="1"/>
  <c r="E383" i="4"/>
  <c r="E387" i="1"/>
  <c r="J388" i="1" s="1"/>
  <c r="J383" i="4" s="1"/>
  <c r="G384" i="1"/>
  <c r="G379" i="4" s="1"/>
  <c r="H384" i="1"/>
  <c r="H379" i="4" s="1"/>
  <c r="K384" i="1"/>
  <c r="K379" i="4" s="1"/>
  <c r="I387" i="1" l="1"/>
  <c r="I382" i="4" s="1"/>
  <c r="E382" i="4"/>
  <c r="I388" i="1"/>
  <c r="I383" i="4" s="1"/>
  <c r="J387" i="1"/>
  <c r="J382" i="4" s="1"/>
  <c r="G387" i="1"/>
  <c r="G382" i="4" s="1"/>
  <c r="L384" i="1"/>
  <c r="L379" i="4" s="1"/>
  <c r="L392" i="1"/>
  <c r="L387" i="4" s="1"/>
  <c r="A385" i="1"/>
  <c r="A386" i="1" l="1"/>
  <c r="A380" i="4"/>
  <c r="D383" i="1"/>
  <c r="D378" i="4" s="1"/>
  <c r="C383" i="1"/>
  <c r="C378" i="4" s="1"/>
  <c r="B383" i="1"/>
  <c r="B378" i="4" s="1"/>
  <c r="A387" i="1" l="1"/>
  <c r="A381" i="4"/>
  <c r="E383" i="1"/>
  <c r="H383" i="1"/>
  <c r="H378" i="4" s="1"/>
  <c r="K383" i="1"/>
  <c r="K378" i="4" s="1"/>
  <c r="L383" i="1"/>
  <c r="L378" i="4" s="1"/>
  <c r="I384" i="1" l="1"/>
  <c r="I379" i="4" s="1"/>
  <c r="E378" i="4"/>
  <c r="A388" i="1"/>
  <c r="A382" i="4"/>
  <c r="G383" i="1"/>
  <c r="G378" i="4" s="1"/>
  <c r="J384" i="1"/>
  <c r="J379" i="4" s="1"/>
  <c r="H382" i="1"/>
  <c r="H377" i="4" s="1"/>
  <c r="K382" i="1"/>
  <c r="K377" i="4" s="1"/>
  <c r="L382" i="1"/>
  <c r="L377" i="4" s="1"/>
  <c r="D382" i="1"/>
  <c r="D377" i="4" s="1"/>
  <c r="C382" i="1"/>
  <c r="C377" i="4" s="1"/>
  <c r="B382" i="1"/>
  <c r="B377" i="4" s="1"/>
  <c r="A389" i="1" l="1"/>
  <c r="A383" i="4"/>
  <c r="E382" i="1"/>
  <c r="I383" i="1" s="1"/>
  <c r="I378" i="4" s="1"/>
  <c r="B381" i="1"/>
  <c r="B376" i="4" s="1"/>
  <c r="J383" i="1" l="1"/>
  <c r="J378" i="4" s="1"/>
  <c r="E377" i="4"/>
  <c r="A390" i="1"/>
  <c r="A384" i="4"/>
  <c r="G382" i="1"/>
  <c r="G377" i="4" s="1"/>
  <c r="D381" i="1"/>
  <c r="D376" i="4" s="1"/>
  <c r="C381" i="1"/>
  <c r="C376" i="4" s="1"/>
  <c r="H381" i="1"/>
  <c r="H376" i="4" s="1"/>
  <c r="K381" i="1"/>
  <c r="K376" i="4" s="1"/>
  <c r="L381" i="1"/>
  <c r="L376" i="4" s="1"/>
  <c r="A391" i="1" l="1"/>
  <c r="A385" i="4"/>
  <c r="E381" i="1"/>
  <c r="D380" i="1"/>
  <c r="D375" i="4" s="1"/>
  <c r="C380" i="1"/>
  <c r="C375" i="4" s="1"/>
  <c r="B380" i="1"/>
  <c r="B375" i="4" s="1"/>
  <c r="G381" i="1" l="1"/>
  <c r="G376" i="4" s="1"/>
  <c r="E376" i="4"/>
  <c r="A392" i="1"/>
  <c r="A386" i="4"/>
  <c r="I382" i="1"/>
  <c r="I377" i="4" s="1"/>
  <c r="J382" i="1"/>
  <c r="J377" i="4" s="1"/>
  <c r="E380" i="1"/>
  <c r="H380" i="1"/>
  <c r="H375" i="4" s="1"/>
  <c r="K380" i="1"/>
  <c r="K375" i="4" s="1"/>
  <c r="L380" i="1"/>
  <c r="L375" i="4" s="1"/>
  <c r="J381" i="1" l="1"/>
  <c r="J376" i="4" s="1"/>
  <c r="E375" i="4"/>
  <c r="A393" i="1"/>
  <c r="A387" i="4"/>
  <c r="G380" i="1"/>
  <c r="G375" i="4" s="1"/>
  <c r="I381" i="1"/>
  <c r="I376" i="4" s="1"/>
  <c r="D379" i="1"/>
  <c r="D374" i="4" s="1"/>
  <c r="C379" i="1"/>
  <c r="C374" i="4" s="1"/>
  <c r="B379" i="1"/>
  <c r="B374" i="4" s="1"/>
  <c r="H379" i="1"/>
  <c r="H374" i="4" s="1"/>
  <c r="K379" i="1"/>
  <c r="K374" i="4" s="1"/>
  <c r="L379" i="1"/>
  <c r="L374" i="4" s="1"/>
  <c r="A394" i="1" l="1"/>
  <c r="A388" i="4"/>
  <c r="E379" i="1"/>
  <c r="B378" i="1"/>
  <c r="B373" i="4" s="1"/>
  <c r="C378" i="1"/>
  <c r="C373" i="4" s="1"/>
  <c r="D378" i="1"/>
  <c r="D373" i="4" s="1"/>
  <c r="I380" i="1" l="1"/>
  <c r="I375" i="4" s="1"/>
  <c r="E374" i="4"/>
  <c r="A395" i="1"/>
  <c r="A389" i="4"/>
  <c r="G379" i="1"/>
  <c r="G374" i="4" s="1"/>
  <c r="J380" i="1"/>
  <c r="J375" i="4" s="1"/>
  <c r="E378" i="1"/>
  <c r="I379" i="1" s="1"/>
  <c r="I374" i="4" s="1"/>
  <c r="H378" i="1"/>
  <c r="H373" i="4" s="1"/>
  <c r="K378" i="1"/>
  <c r="K373" i="4" s="1"/>
  <c r="L378" i="1"/>
  <c r="L373" i="4" s="1"/>
  <c r="J379" i="1" l="1"/>
  <c r="J374" i="4" s="1"/>
  <c r="E373" i="4"/>
  <c r="A396" i="1"/>
  <c r="A390" i="4"/>
  <c r="G378" i="1"/>
  <c r="G373" i="4" s="1"/>
  <c r="H377" i="1"/>
  <c r="H372" i="4" s="1"/>
  <c r="K377" i="1"/>
  <c r="K372" i="4" s="1"/>
  <c r="L377" i="1"/>
  <c r="L372" i="4" s="1"/>
  <c r="D377" i="1"/>
  <c r="D372" i="4" s="1"/>
  <c r="C377" i="1"/>
  <c r="C372" i="4" s="1"/>
  <c r="B377" i="1"/>
  <c r="B372" i="4" s="1"/>
  <c r="A397" i="1" l="1"/>
  <c r="A391" i="4"/>
  <c r="E377" i="1"/>
  <c r="J378" i="1" s="1"/>
  <c r="J373" i="4" s="1"/>
  <c r="H376" i="1"/>
  <c r="H371" i="4" s="1"/>
  <c r="K376" i="1"/>
  <c r="K371" i="4" s="1"/>
  <c r="L376" i="1"/>
  <c r="L371" i="4" s="1"/>
  <c r="D376" i="1"/>
  <c r="D371" i="4" s="1"/>
  <c r="C376" i="1"/>
  <c r="C371" i="4" s="1"/>
  <c r="B376" i="1"/>
  <c r="B371" i="4" s="1"/>
  <c r="I378" i="1" l="1"/>
  <c r="I373" i="4" s="1"/>
  <c r="E372" i="4"/>
  <c r="A398" i="1"/>
  <c r="A392" i="4"/>
  <c r="G377" i="1"/>
  <c r="G372" i="4" s="1"/>
  <c r="E376" i="1"/>
  <c r="D375" i="1"/>
  <c r="D370" i="4" s="1"/>
  <c r="C375" i="1"/>
  <c r="C370" i="4" s="1"/>
  <c r="B375" i="1"/>
  <c r="B370" i="4" s="1"/>
  <c r="A399" i="1" l="1"/>
  <c r="A393" i="4"/>
  <c r="J377" i="1"/>
  <c r="J372" i="4" s="1"/>
  <c r="E371" i="4"/>
  <c r="G376" i="1"/>
  <c r="G371" i="4" s="1"/>
  <c r="I377" i="1"/>
  <c r="I372" i="4" s="1"/>
  <c r="E375" i="1"/>
  <c r="H375" i="1"/>
  <c r="H370" i="4" s="1"/>
  <c r="K375" i="1"/>
  <c r="K370" i="4" s="1"/>
  <c r="L375" i="1"/>
  <c r="L370" i="4" s="1"/>
  <c r="J376" i="1" l="1"/>
  <c r="J371" i="4" s="1"/>
  <c r="E370" i="4"/>
  <c r="A400" i="1"/>
  <c r="A394" i="4"/>
  <c r="G375" i="1"/>
  <c r="G370" i="4" s="1"/>
  <c r="I376" i="1"/>
  <c r="I371" i="4" s="1"/>
  <c r="H374" i="1"/>
  <c r="H369" i="4" s="1"/>
  <c r="K374" i="1"/>
  <c r="K369" i="4" s="1"/>
  <c r="L374" i="1"/>
  <c r="L369" i="4" s="1"/>
  <c r="D374" i="1"/>
  <c r="D369" i="4" s="1"/>
  <c r="C374" i="1"/>
  <c r="C369" i="4" s="1"/>
  <c r="B374" i="1"/>
  <c r="B369" i="4" s="1"/>
  <c r="A401" i="1" l="1"/>
  <c r="A395" i="4"/>
  <c r="E374" i="1"/>
  <c r="I375" i="1" s="1"/>
  <c r="I370" i="4" s="1"/>
  <c r="H373" i="1"/>
  <c r="H368" i="4" s="1"/>
  <c r="K373" i="1"/>
  <c r="K368" i="4" s="1"/>
  <c r="L373" i="1"/>
  <c r="L368" i="4" s="1"/>
  <c r="D373" i="1"/>
  <c r="D368" i="4" s="1"/>
  <c r="C373" i="1"/>
  <c r="C368" i="4" s="1"/>
  <c r="B373" i="1"/>
  <c r="B368" i="4" s="1"/>
  <c r="J375" i="1" l="1"/>
  <c r="J370" i="4" s="1"/>
  <c r="E369" i="4"/>
  <c r="A402" i="1"/>
  <c r="A396" i="4"/>
  <c r="G374" i="1"/>
  <c r="G369" i="4" s="1"/>
  <c r="E373" i="1"/>
  <c r="H372" i="1"/>
  <c r="H367" i="4" s="1"/>
  <c r="K372" i="1"/>
  <c r="K367" i="4" s="1"/>
  <c r="L372" i="1"/>
  <c r="L367" i="4" s="1"/>
  <c r="D372" i="1"/>
  <c r="D367" i="4" s="1"/>
  <c r="C372" i="1"/>
  <c r="C367" i="4" s="1"/>
  <c r="B372" i="1"/>
  <c r="B367" i="4" s="1"/>
  <c r="J374" i="1" l="1"/>
  <c r="J369" i="4" s="1"/>
  <c r="E368" i="4"/>
  <c r="A403" i="1"/>
  <c r="A397" i="4"/>
  <c r="G373" i="1"/>
  <c r="G368" i="4" s="1"/>
  <c r="I374" i="1"/>
  <c r="I369" i="4" s="1"/>
  <c r="E372" i="1"/>
  <c r="J373" i="1" s="1"/>
  <c r="J368" i="4" s="1"/>
  <c r="H371" i="1"/>
  <c r="H366" i="4" s="1"/>
  <c r="K371" i="1"/>
  <c r="K366" i="4" s="1"/>
  <c r="L371" i="1"/>
  <c r="L366" i="4" s="1"/>
  <c r="D371" i="1"/>
  <c r="D366" i="4" s="1"/>
  <c r="C371" i="1"/>
  <c r="C366" i="4" s="1"/>
  <c r="B371" i="1"/>
  <c r="B366" i="4" s="1"/>
  <c r="A404" i="1" l="1"/>
  <c r="A398" i="4"/>
  <c r="G372" i="1"/>
  <c r="G367" i="4" s="1"/>
  <c r="E367" i="4"/>
  <c r="I373" i="1"/>
  <c r="I368" i="4" s="1"/>
  <c r="E371" i="1"/>
  <c r="L370" i="1"/>
  <c r="L365" i="4" s="1"/>
  <c r="K370" i="1"/>
  <c r="K365" i="4" s="1"/>
  <c r="H370" i="1"/>
  <c r="H365" i="4" s="1"/>
  <c r="E370" i="1"/>
  <c r="J372" i="1" l="1"/>
  <c r="J367" i="4" s="1"/>
  <c r="E366" i="4"/>
  <c r="J371" i="1"/>
  <c r="J366" i="4" s="1"/>
  <c r="E365" i="4"/>
  <c r="A405" i="1"/>
  <c r="A399" i="4"/>
  <c r="I371" i="1"/>
  <c r="I366" i="4" s="1"/>
  <c r="G371" i="1"/>
  <c r="G366" i="4" s="1"/>
  <c r="I372" i="1"/>
  <c r="I367" i="4" s="1"/>
  <c r="G370" i="1"/>
  <c r="G365" i="4" s="1"/>
  <c r="H369" i="1"/>
  <c r="H364" i="4" s="1"/>
  <c r="K369" i="1"/>
  <c r="K364" i="4" s="1"/>
  <c r="L369" i="1"/>
  <c r="L364" i="4" s="1"/>
  <c r="D369" i="1"/>
  <c r="D364" i="4" s="1"/>
  <c r="C369" i="1"/>
  <c r="C364" i="4" s="1"/>
  <c r="B369" i="1"/>
  <c r="B364" i="4" s="1"/>
  <c r="A406" i="1" l="1"/>
  <c r="A400" i="4"/>
  <c r="E369" i="1"/>
  <c r="I370" i="1" s="1"/>
  <c r="I365" i="4" s="1"/>
  <c r="D368" i="1"/>
  <c r="D363" i="4" s="1"/>
  <c r="C368" i="1"/>
  <c r="C363" i="4" s="1"/>
  <c r="B368" i="1"/>
  <c r="B363" i="4" s="1"/>
  <c r="H368" i="1"/>
  <c r="H363" i="4" s="1"/>
  <c r="K368" i="1"/>
  <c r="K363" i="4" s="1"/>
  <c r="L368" i="1"/>
  <c r="L363" i="4" s="1"/>
  <c r="J370" i="1" l="1"/>
  <c r="J365" i="4" s="1"/>
  <c r="E364" i="4"/>
  <c r="A407" i="1"/>
  <c r="A401" i="4"/>
  <c r="G369" i="1"/>
  <c r="G364" i="4" s="1"/>
  <c r="E368" i="1"/>
  <c r="E363" i="4" s="1"/>
  <c r="D367" i="1"/>
  <c r="D362" i="4" s="1"/>
  <c r="C367" i="1"/>
  <c r="C362" i="4" s="1"/>
  <c r="B367" i="1"/>
  <c r="B362" i="4" s="1"/>
  <c r="H367" i="1"/>
  <c r="H362" i="4" s="1"/>
  <c r="K367" i="1"/>
  <c r="K362" i="4" s="1"/>
  <c r="L367" i="1"/>
  <c r="L362" i="4" s="1"/>
  <c r="I369" i="1" l="1"/>
  <c r="I364" i="4" s="1"/>
  <c r="G368" i="1"/>
  <c r="G363" i="4" s="1"/>
  <c r="A408" i="1"/>
  <c r="A402" i="4"/>
  <c r="J369" i="1"/>
  <c r="J364" i="4" s="1"/>
  <c r="E367" i="1"/>
  <c r="D366" i="1"/>
  <c r="D361" i="4" s="1"/>
  <c r="C366" i="1"/>
  <c r="C361" i="4" s="1"/>
  <c r="B366" i="1"/>
  <c r="B361" i="4" s="1"/>
  <c r="H366" i="1"/>
  <c r="H361" i="4" s="1"/>
  <c r="K366" i="1"/>
  <c r="K361" i="4" s="1"/>
  <c r="L366" i="1"/>
  <c r="L361" i="4" s="1"/>
  <c r="G367" i="1" l="1"/>
  <c r="G362" i="4" s="1"/>
  <c r="E362" i="4"/>
  <c r="I368" i="1"/>
  <c r="I363" i="4" s="1"/>
  <c r="A409" i="1"/>
  <c r="A403" i="4"/>
  <c r="J368" i="1"/>
  <c r="J363" i="4" s="1"/>
  <c r="E366" i="1"/>
  <c r="I367" i="1" s="1"/>
  <c r="I362" i="4" s="1"/>
  <c r="D365" i="1"/>
  <c r="D360" i="4" s="1"/>
  <c r="C365" i="1"/>
  <c r="C360" i="4" s="1"/>
  <c r="B365" i="1"/>
  <c r="B360" i="4" s="1"/>
  <c r="G366" i="1" l="1"/>
  <c r="G361" i="4" s="1"/>
  <c r="E361" i="4"/>
  <c r="A410" i="1"/>
  <c r="A404" i="4"/>
  <c r="J367" i="1"/>
  <c r="J362" i="4" s="1"/>
  <c r="H365" i="1"/>
  <c r="H360" i="4" s="1"/>
  <c r="K365" i="1"/>
  <c r="K360" i="4" s="1"/>
  <c r="L365" i="1"/>
  <c r="L360" i="4" s="1"/>
  <c r="E365" i="1"/>
  <c r="E360" i="4" s="1"/>
  <c r="A411" i="1" l="1"/>
  <c r="A405" i="4"/>
  <c r="J366" i="1"/>
  <c r="J361" i="4" s="1"/>
  <c r="I366" i="1"/>
  <c r="I361" i="4" s="1"/>
  <c r="G365" i="1"/>
  <c r="G360" i="4" s="1"/>
  <c r="H364" i="1"/>
  <c r="H359" i="4" s="1"/>
  <c r="K364" i="1"/>
  <c r="K359" i="4" s="1"/>
  <c r="L364" i="1"/>
  <c r="L359" i="4" s="1"/>
  <c r="D364" i="1"/>
  <c r="D359" i="4" s="1"/>
  <c r="C364" i="1"/>
  <c r="C359" i="4" s="1"/>
  <c r="B364" i="1"/>
  <c r="B359" i="4" s="1"/>
  <c r="A412" i="1" l="1"/>
  <c r="A406" i="4"/>
  <c r="E364" i="1"/>
  <c r="G364" i="1" s="1"/>
  <c r="G359" i="4" s="1"/>
  <c r="H363" i="1"/>
  <c r="H358" i="4" s="1"/>
  <c r="K363" i="1"/>
  <c r="K358" i="4" s="1"/>
  <c r="L363" i="1"/>
  <c r="L358" i="4" s="1"/>
  <c r="D363" i="1"/>
  <c r="D358" i="4" s="1"/>
  <c r="C363" i="1"/>
  <c r="C358" i="4" s="1"/>
  <c r="B363" i="1"/>
  <c r="B358" i="4" s="1"/>
  <c r="I365" i="1" l="1"/>
  <c r="I360" i="4" s="1"/>
  <c r="E359" i="4"/>
  <c r="A413" i="1"/>
  <c r="A407" i="4"/>
  <c r="J365" i="1"/>
  <c r="J360" i="4" s="1"/>
  <c r="E363" i="1"/>
  <c r="D362" i="1"/>
  <c r="D357" i="4" s="1"/>
  <c r="C362" i="1"/>
  <c r="C357" i="4" s="1"/>
  <c r="B362" i="1"/>
  <c r="B357" i="4" s="1"/>
  <c r="A414" i="1" l="1"/>
  <c r="A408" i="4"/>
  <c r="I364" i="1"/>
  <c r="I359" i="4" s="1"/>
  <c r="E358" i="4"/>
  <c r="E362" i="1"/>
  <c r="I363" i="1" s="1"/>
  <c r="I358" i="4" s="1"/>
  <c r="G363" i="1"/>
  <c r="G358" i="4" s="1"/>
  <c r="J364" i="1"/>
  <c r="J359" i="4" s="1"/>
  <c r="H362" i="1"/>
  <c r="H357" i="4" s="1"/>
  <c r="K362" i="1"/>
  <c r="K357" i="4" s="1"/>
  <c r="L362" i="1"/>
  <c r="L357" i="4" s="1"/>
  <c r="G362" i="1" l="1"/>
  <c r="G357" i="4" s="1"/>
  <c r="J363" i="1"/>
  <c r="J358" i="4" s="1"/>
  <c r="E357" i="4"/>
  <c r="A415" i="1"/>
  <c r="A409" i="4"/>
  <c r="D361" i="1"/>
  <c r="D356" i="4" s="1"/>
  <c r="C361" i="1"/>
  <c r="C356" i="4" s="1"/>
  <c r="B361" i="1"/>
  <c r="B356" i="4" s="1"/>
  <c r="A416" i="1" l="1"/>
  <c r="A410" i="4"/>
  <c r="E361" i="1"/>
  <c r="H361" i="1"/>
  <c r="H356" i="4" s="1"/>
  <c r="K361" i="1"/>
  <c r="K356" i="4" s="1"/>
  <c r="L361" i="1"/>
  <c r="L356" i="4" s="1"/>
  <c r="I362" i="1" l="1"/>
  <c r="I357" i="4" s="1"/>
  <c r="E356" i="4"/>
  <c r="A417" i="1"/>
  <c r="A411" i="4"/>
  <c r="G361" i="1"/>
  <c r="G356" i="4" s="1"/>
  <c r="J362" i="1"/>
  <c r="J357" i="4" s="1"/>
  <c r="E360" i="1"/>
  <c r="E355" i="4" s="1"/>
  <c r="A418" i="1" l="1"/>
  <c r="A412" i="4"/>
  <c r="I361" i="1"/>
  <c r="I356" i="4" s="1"/>
  <c r="J361" i="1"/>
  <c r="J356" i="4" s="1"/>
  <c r="L360" i="1"/>
  <c r="L355" i="4" s="1"/>
  <c r="K360" i="1"/>
  <c r="K355" i="4" s="1"/>
  <c r="H360" i="1"/>
  <c r="H355" i="4" s="1"/>
  <c r="G360" i="1"/>
  <c r="G355" i="4" s="1"/>
  <c r="A419" i="1" l="1"/>
  <c r="A413" i="4"/>
  <c r="D359" i="1"/>
  <c r="D354" i="4" s="1"/>
  <c r="C359" i="1"/>
  <c r="C354" i="4" s="1"/>
  <c r="B359" i="1"/>
  <c r="B354" i="4" s="1"/>
  <c r="A420" i="1" l="1"/>
  <c r="A414" i="4"/>
  <c r="E359" i="1"/>
  <c r="J360" i="1" s="1"/>
  <c r="J355" i="4" s="1"/>
  <c r="H359" i="1"/>
  <c r="H354" i="4" s="1"/>
  <c r="K359" i="1"/>
  <c r="K354" i="4" s="1"/>
  <c r="L359" i="1"/>
  <c r="L354" i="4" s="1"/>
  <c r="I360" i="1" l="1"/>
  <c r="I355" i="4" s="1"/>
  <c r="E354" i="4"/>
  <c r="A421" i="1"/>
  <c r="A415" i="4"/>
  <c r="G359" i="1"/>
  <c r="G354" i="4" s="1"/>
  <c r="D358" i="1"/>
  <c r="D353" i="4" s="1"/>
  <c r="C358" i="1"/>
  <c r="C353" i="4" s="1"/>
  <c r="B358" i="1"/>
  <c r="B353" i="4" s="1"/>
  <c r="A422" i="1" l="1"/>
  <c r="A416" i="4"/>
  <c r="E358" i="1"/>
  <c r="J359" i="1" s="1"/>
  <c r="J354" i="4" s="1"/>
  <c r="H358" i="1"/>
  <c r="H353" i="4" s="1"/>
  <c r="K358" i="1"/>
  <c r="K353" i="4" s="1"/>
  <c r="L358" i="1"/>
  <c r="L353" i="4" s="1"/>
  <c r="I359" i="1" l="1"/>
  <c r="I354" i="4" s="1"/>
  <c r="E353" i="4"/>
  <c r="A423" i="1"/>
  <c r="A417" i="4"/>
  <c r="G358" i="1"/>
  <c r="G353" i="4" s="1"/>
  <c r="D357" i="1"/>
  <c r="D352" i="4" s="1"/>
  <c r="C357" i="1"/>
  <c r="C352" i="4" s="1"/>
  <c r="B357" i="1"/>
  <c r="B352" i="4" s="1"/>
  <c r="H357" i="1"/>
  <c r="H352" i="4" s="1"/>
  <c r="K357" i="1"/>
  <c r="K352" i="4" s="1"/>
  <c r="L357" i="1"/>
  <c r="L352" i="4" s="1"/>
  <c r="A424" i="1" l="1"/>
  <c r="A418" i="4"/>
  <c r="E357" i="1"/>
  <c r="J358" i="1" s="1"/>
  <c r="J353" i="4" s="1"/>
  <c r="D356" i="1"/>
  <c r="D351" i="4" s="1"/>
  <c r="C356" i="1"/>
  <c r="C351" i="4" s="1"/>
  <c r="B356" i="1"/>
  <c r="B351" i="4" s="1"/>
  <c r="I358" i="1" l="1"/>
  <c r="I353" i="4" s="1"/>
  <c r="E352" i="4"/>
  <c r="A425" i="1"/>
  <c r="A419" i="4"/>
  <c r="G357" i="1"/>
  <c r="G352" i="4" s="1"/>
  <c r="E356" i="1"/>
  <c r="H356" i="1"/>
  <c r="H351" i="4" s="1"/>
  <c r="K356" i="1"/>
  <c r="K351" i="4" s="1"/>
  <c r="L356" i="1"/>
  <c r="L351" i="4" s="1"/>
  <c r="A426" i="1" l="1"/>
  <c r="A420" i="4"/>
  <c r="G356" i="1"/>
  <c r="G351" i="4" s="1"/>
  <c r="E351" i="4"/>
  <c r="J357" i="1"/>
  <c r="J352" i="4" s="1"/>
  <c r="I357" i="1"/>
  <c r="I352" i="4" s="1"/>
  <c r="D355" i="1"/>
  <c r="D350" i="4" s="1"/>
  <c r="C355" i="1"/>
  <c r="C350" i="4" s="1"/>
  <c r="B355" i="1"/>
  <c r="B350" i="4" s="1"/>
  <c r="H355" i="1"/>
  <c r="H350" i="4" s="1"/>
  <c r="K355" i="1"/>
  <c r="K350" i="4" s="1"/>
  <c r="L355" i="1"/>
  <c r="L350" i="4" s="1"/>
  <c r="A427" i="1" l="1"/>
  <c r="A421" i="4"/>
  <c r="E355" i="1"/>
  <c r="E354" i="1"/>
  <c r="E353" i="1"/>
  <c r="E352" i="1"/>
  <c r="E351" i="1"/>
  <c r="E346" i="4" s="1"/>
  <c r="E350" i="1"/>
  <c r="G350" i="1" l="1"/>
  <c r="G345" i="4" s="1"/>
  <c r="E345" i="4"/>
  <c r="J355" i="1"/>
  <c r="J350" i="4" s="1"/>
  <c r="E349" i="4"/>
  <c r="G352" i="1"/>
  <c r="G347" i="4" s="1"/>
  <c r="E347" i="4"/>
  <c r="J356" i="1"/>
  <c r="J351" i="4" s="1"/>
  <c r="E350" i="4"/>
  <c r="G353" i="1"/>
  <c r="G348" i="4" s="1"/>
  <c r="E348" i="4"/>
  <c r="A428" i="1"/>
  <c r="A422" i="4"/>
  <c r="G355" i="1"/>
  <c r="G350" i="4" s="1"/>
  <c r="I356" i="1"/>
  <c r="I351" i="4" s="1"/>
  <c r="G354" i="1"/>
  <c r="G349" i="4" s="1"/>
  <c r="J351" i="1"/>
  <c r="J346" i="4" s="1"/>
  <c r="J352" i="1"/>
  <c r="J347" i="4" s="1"/>
  <c r="J354" i="1"/>
  <c r="J349" i="4" s="1"/>
  <c r="I355" i="1"/>
  <c r="I350" i="4" s="1"/>
  <c r="J353" i="1"/>
  <c r="J348" i="4" s="1"/>
  <c r="G351" i="1"/>
  <c r="G346" i="4" s="1"/>
  <c r="H354" i="1"/>
  <c r="H349" i="4" s="1"/>
  <c r="I354" i="1"/>
  <c r="I349" i="4" s="1"/>
  <c r="K354" i="1"/>
  <c r="K349" i="4" s="1"/>
  <c r="L354" i="1"/>
  <c r="L349" i="4" s="1"/>
  <c r="A429" i="1" l="1"/>
  <c r="A423" i="4"/>
  <c r="H353" i="1"/>
  <c r="H348" i="4" s="1"/>
  <c r="I353" i="1"/>
  <c r="I348" i="4" s="1"/>
  <c r="K353" i="1"/>
  <c r="K348" i="4" s="1"/>
  <c r="L353" i="1"/>
  <c r="L348" i="4" s="1"/>
  <c r="A430" i="1" l="1"/>
  <c r="A424" i="4"/>
  <c r="H352" i="1"/>
  <c r="H347" i="4" s="1"/>
  <c r="I352" i="1"/>
  <c r="I347" i="4" s="1"/>
  <c r="K352" i="1"/>
  <c r="K347" i="4" s="1"/>
  <c r="L352" i="1"/>
  <c r="L347" i="4" s="1"/>
  <c r="A431" i="1" l="1"/>
  <c r="A425" i="4"/>
  <c r="H351" i="1"/>
  <c r="H346" i="4" s="1"/>
  <c r="I351" i="1"/>
  <c r="I346" i="4" s="1"/>
  <c r="K351" i="1"/>
  <c r="K346" i="4" s="1"/>
  <c r="L351" i="1"/>
  <c r="L346" i="4" s="1"/>
  <c r="A432" i="1" l="1"/>
  <c r="A426" i="4"/>
  <c r="L350" i="1"/>
  <c r="L345" i="4" s="1"/>
  <c r="K350" i="1"/>
  <c r="K345" i="4" s="1"/>
  <c r="H350" i="1"/>
  <c r="H345" i="4" s="1"/>
  <c r="A433" i="1" l="1"/>
  <c r="A427" i="4"/>
  <c r="C349" i="1"/>
  <c r="C344" i="4" s="1"/>
  <c r="B349" i="1"/>
  <c r="E349" i="1" l="1"/>
  <c r="E344" i="4" s="1"/>
  <c r="B344" i="4"/>
  <c r="A434" i="1"/>
  <c r="A428" i="4"/>
  <c r="I350" i="1"/>
  <c r="I345" i="4" s="1"/>
  <c r="J350" i="1"/>
  <c r="J345" i="4" s="1"/>
  <c r="G349" i="1"/>
  <c r="G344" i="4" s="1"/>
  <c r="H349" i="1"/>
  <c r="H344" i="4" s="1"/>
  <c r="K349" i="1"/>
  <c r="K344" i="4" s="1"/>
  <c r="L349" i="1"/>
  <c r="L344" i="4" s="1"/>
  <c r="A435" i="1" l="1"/>
  <c r="A429" i="4"/>
  <c r="C348" i="1"/>
  <c r="C343" i="4" s="1"/>
  <c r="B348" i="1"/>
  <c r="E348" i="1" l="1"/>
  <c r="G348" i="1" s="1"/>
  <c r="G343" i="4" s="1"/>
  <c r="B343" i="4"/>
  <c r="A436" i="1"/>
  <c r="A430" i="4"/>
  <c r="H348" i="1"/>
  <c r="H343" i="4" s="1"/>
  <c r="K348" i="1"/>
  <c r="K343" i="4" s="1"/>
  <c r="L348" i="1"/>
  <c r="L343" i="4" s="1"/>
  <c r="I349" i="1" l="1"/>
  <c r="I344" i="4" s="1"/>
  <c r="A437" i="1"/>
  <c r="A431" i="4"/>
  <c r="J349" i="1"/>
  <c r="J344" i="4" s="1"/>
  <c r="E343" i="4"/>
  <c r="D347" i="1"/>
  <c r="D342" i="4" s="1"/>
  <c r="C347" i="1"/>
  <c r="C342" i="4" s="1"/>
  <c r="B347" i="1"/>
  <c r="B342" i="4" s="1"/>
  <c r="A438" i="1" l="1"/>
  <c r="A432" i="4"/>
  <c r="E347" i="1"/>
  <c r="H347" i="1"/>
  <c r="H342" i="4" s="1"/>
  <c r="K347" i="1"/>
  <c r="K342" i="4" s="1"/>
  <c r="L347" i="1"/>
  <c r="L342" i="4" s="1"/>
  <c r="G347" i="1" l="1"/>
  <c r="G342" i="4" s="1"/>
  <c r="E342" i="4"/>
  <c r="A439" i="1"/>
  <c r="A433" i="4"/>
  <c r="I348" i="1"/>
  <c r="I343" i="4" s="1"/>
  <c r="J348" i="1"/>
  <c r="J343" i="4" s="1"/>
  <c r="D346" i="1"/>
  <c r="D341" i="4" s="1"/>
  <c r="C346" i="1"/>
  <c r="C341" i="4" s="1"/>
  <c r="B346" i="1"/>
  <c r="B341" i="4" s="1"/>
  <c r="A440" i="1" l="1"/>
  <c r="A434" i="4"/>
  <c r="E346" i="1"/>
  <c r="H346" i="1"/>
  <c r="H341" i="4" s="1"/>
  <c r="K346" i="1"/>
  <c r="K341" i="4" s="1"/>
  <c r="L346" i="1"/>
  <c r="L341" i="4" s="1"/>
  <c r="I347" i="1" l="1"/>
  <c r="I342" i="4" s="1"/>
  <c r="E341" i="4"/>
  <c r="A441" i="1"/>
  <c r="A435" i="4"/>
  <c r="G346" i="1"/>
  <c r="G341" i="4" s="1"/>
  <c r="J347" i="1"/>
  <c r="J342" i="4" s="1"/>
  <c r="L345" i="1"/>
  <c r="L340" i="4" s="1"/>
  <c r="K345" i="1"/>
  <c r="K340" i="4" s="1"/>
  <c r="H345" i="1"/>
  <c r="H340" i="4" s="1"/>
  <c r="E345" i="1"/>
  <c r="G345" i="1" l="1"/>
  <c r="G340" i="4" s="1"/>
  <c r="E340" i="4"/>
  <c r="A442" i="1"/>
  <c r="A436" i="4"/>
  <c r="I346" i="1"/>
  <c r="I341" i="4" s="1"/>
  <c r="J346" i="1"/>
  <c r="J341" i="4" s="1"/>
  <c r="L344" i="1"/>
  <c r="L339" i="4" s="1"/>
  <c r="K344" i="1"/>
  <c r="K339" i="4" s="1"/>
  <c r="H344" i="1"/>
  <c r="H339" i="4" s="1"/>
  <c r="E344" i="1"/>
  <c r="J345" i="1" l="1"/>
  <c r="J340" i="4" s="1"/>
  <c r="E339" i="4"/>
  <c r="A443" i="1"/>
  <c r="A437" i="4"/>
  <c r="I345" i="1"/>
  <c r="I340" i="4" s="1"/>
  <c r="G344" i="1"/>
  <c r="G339" i="4" s="1"/>
  <c r="L343" i="1"/>
  <c r="L338" i="4" s="1"/>
  <c r="K343" i="1"/>
  <c r="K338" i="4" s="1"/>
  <c r="H343" i="1"/>
  <c r="H338" i="4" s="1"/>
  <c r="E343" i="1"/>
  <c r="J344" i="1" l="1"/>
  <c r="J339" i="4" s="1"/>
  <c r="E338" i="4"/>
  <c r="A444" i="1"/>
  <c r="A438" i="4"/>
  <c r="I344" i="1"/>
  <c r="I339" i="4" s="1"/>
  <c r="G343" i="1"/>
  <c r="G338" i="4" s="1"/>
  <c r="E342" i="1"/>
  <c r="E337" i="4" s="1"/>
  <c r="A445" i="1" l="1"/>
  <c r="A439" i="4"/>
  <c r="I343" i="1"/>
  <c r="I338" i="4" s="1"/>
  <c r="J343" i="1"/>
  <c r="J338" i="4" s="1"/>
  <c r="G342" i="1"/>
  <c r="G337" i="4" s="1"/>
  <c r="H342" i="1"/>
  <c r="H337" i="4" s="1"/>
  <c r="K342" i="1"/>
  <c r="K337" i="4" s="1"/>
  <c r="L342" i="1"/>
  <c r="L337" i="4" s="1"/>
  <c r="A446" i="1" l="1"/>
  <c r="A440" i="4"/>
  <c r="D341" i="1"/>
  <c r="D336" i="4" s="1"/>
  <c r="C341" i="1"/>
  <c r="C336" i="4" s="1"/>
  <c r="B341" i="1"/>
  <c r="B336" i="4" s="1"/>
  <c r="A447" i="1" l="1"/>
  <c r="A441" i="4"/>
  <c r="E341" i="1"/>
  <c r="H341" i="1"/>
  <c r="H336" i="4" s="1"/>
  <c r="K341" i="1"/>
  <c r="K336" i="4" s="1"/>
  <c r="L341" i="1"/>
  <c r="L336" i="4" s="1"/>
  <c r="I342" i="1" l="1"/>
  <c r="I337" i="4" s="1"/>
  <c r="E336" i="4"/>
  <c r="A448" i="1"/>
  <c r="A442" i="4"/>
  <c r="G341" i="1"/>
  <c r="G336" i="4" s="1"/>
  <c r="J342" i="1"/>
  <c r="J337" i="4" s="1"/>
  <c r="H340" i="1"/>
  <c r="H335" i="4" s="1"/>
  <c r="K340" i="1"/>
  <c r="K335" i="4" s="1"/>
  <c r="L340" i="1"/>
  <c r="L335" i="4" s="1"/>
  <c r="D340" i="1"/>
  <c r="D335" i="4" s="1"/>
  <c r="C340" i="1"/>
  <c r="C335" i="4" s="1"/>
  <c r="B340" i="1"/>
  <c r="B335" i="4" s="1"/>
  <c r="A449" i="1" l="1"/>
  <c r="A443" i="4"/>
  <c r="E340" i="1"/>
  <c r="E335" i="4" s="1"/>
  <c r="H339" i="1"/>
  <c r="H334" i="4" s="1"/>
  <c r="K339" i="1"/>
  <c r="K334" i="4" s="1"/>
  <c r="L339" i="1"/>
  <c r="L334" i="4" s="1"/>
  <c r="D339" i="1"/>
  <c r="D334" i="4" s="1"/>
  <c r="C339" i="1"/>
  <c r="C334" i="4" s="1"/>
  <c r="B339" i="1"/>
  <c r="B334" i="4" s="1"/>
  <c r="A450" i="1" l="1"/>
  <c r="A444" i="4"/>
  <c r="E339" i="1"/>
  <c r="J340" i="1" s="1"/>
  <c r="J335" i="4" s="1"/>
  <c r="J341" i="1"/>
  <c r="J336" i="4" s="1"/>
  <c r="I341" i="1"/>
  <c r="I336" i="4" s="1"/>
  <c r="G340" i="1"/>
  <c r="G335" i="4" s="1"/>
  <c r="I340" i="1"/>
  <c r="I335" i="4" s="1"/>
  <c r="H338" i="1"/>
  <c r="H333" i="4" s="1"/>
  <c r="K338" i="1"/>
  <c r="K333" i="4" s="1"/>
  <c r="L338" i="1"/>
  <c r="L333" i="4" s="1"/>
  <c r="D338" i="1"/>
  <c r="D333" i="4" s="1"/>
  <c r="C338" i="1"/>
  <c r="C333" i="4" s="1"/>
  <c r="B338" i="1"/>
  <c r="B333" i="4" s="1"/>
  <c r="G339" i="1" l="1"/>
  <c r="G334" i="4" s="1"/>
  <c r="E334" i="4"/>
  <c r="A451" i="1"/>
  <c r="A445" i="4"/>
  <c r="E338" i="1"/>
  <c r="D337" i="1"/>
  <c r="D332" i="4" s="1"/>
  <c r="C337" i="1"/>
  <c r="C332" i="4" s="1"/>
  <c r="B337" i="1"/>
  <c r="B332" i="4" s="1"/>
  <c r="A452" i="1" l="1"/>
  <c r="A446" i="4"/>
  <c r="G338" i="1"/>
  <c r="G333" i="4" s="1"/>
  <c r="E333" i="4"/>
  <c r="I339" i="1"/>
  <c r="I334" i="4" s="1"/>
  <c r="J339" i="1"/>
  <c r="J334" i="4" s="1"/>
  <c r="E337" i="1"/>
  <c r="I338" i="1" s="1"/>
  <c r="I333" i="4" s="1"/>
  <c r="H337" i="1"/>
  <c r="H332" i="4" s="1"/>
  <c r="K337" i="1"/>
  <c r="K332" i="4" s="1"/>
  <c r="L337" i="1"/>
  <c r="L332" i="4" s="1"/>
  <c r="J338" i="1" l="1"/>
  <c r="J333" i="4" s="1"/>
  <c r="E332" i="4"/>
  <c r="G337" i="1"/>
  <c r="G332" i="4" s="1"/>
  <c r="A453" i="1"/>
  <c r="A447" i="4"/>
  <c r="H336" i="1"/>
  <c r="H331" i="4" s="1"/>
  <c r="K336" i="1"/>
  <c r="K331" i="4" s="1"/>
  <c r="L336" i="1"/>
  <c r="L331" i="4" s="1"/>
  <c r="D336" i="1"/>
  <c r="D331" i="4" s="1"/>
  <c r="C336" i="1"/>
  <c r="C331" i="4" s="1"/>
  <c r="B336" i="1"/>
  <c r="B331" i="4" s="1"/>
  <c r="A454" i="1" l="1"/>
  <c r="A448" i="4"/>
  <c r="E336" i="1"/>
  <c r="I337" i="1" s="1"/>
  <c r="I332" i="4" s="1"/>
  <c r="D335" i="1"/>
  <c r="D330" i="4" s="1"/>
  <c r="C335" i="1"/>
  <c r="C330" i="4" s="1"/>
  <c r="B335" i="1"/>
  <c r="B330" i="4" s="1"/>
  <c r="J337" i="1" l="1"/>
  <c r="J332" i="4" s="1"/>
  <c r="E331" i="4"/>
  <c r="A455" i="1"/>
  <c r="A449" i="4"/>
  <c r="G336" i="1"/>
  <c r="G331" i="4" s="1"/>
  <c r="E335" i="1"/>
  <c r="H335" i="1"/>
  <c r="H330" i="4" s="1"/>
  <c r="K335" i="1"/>
  <c r="K330" i="4" s="1"/>
  <c r="L335" i="1"/>
  <c r="L330" i="4" s="1"/>
  <c r="A456" i="1" l="1"/>
  <c r="A450" i="4"/>
  <c r="I336" i="1"/>
  <c r="I331" i="4" s="1"/>
  <c r="E330" i="4"/>
  <c r="G335" i="1"/>
  <c r="G330" i="4" s="1"/>
  <c r="J336" i="1"/>
  <c r="J331" i="4" s="1"/>
  <c r="C334" i="1"/>
  <c r="C329" i="4" s="1"/>
  <c r="A457" i="1" l="1"/>
  <c r="A451" i="4"/>
  <c r="D334" i="1"/>
  <c r="D329" i="4" s="1"/>
  <c r="B334" i="1"/>
  <c r="B329" i="4" s="1"/>
  <c r="H334" i="1"/>
  <c r="H329" i="4" s="1"/>
  <c r="K334" i="1"/>
  <c r="K329" i="4" s="1"/>
  <c r="L334" i="1"/>
  <c r="L329" i="4" s="1"/>
  <c r="A458" i="1" l="1"/>
  <c r="A452" i="4"/>
  <c r="E334" i="1"/>
  <c r="J335" i="1" s="1"/>
  <c r="J330" i="4" s="1"/>
  <c r="H333" i="1"/>
  <c r="H328" i="4" s="1"/>
  <c r="K333" i="1"/>
  <c r="K328" i="4" s="1"/>
  <c r="L333" i="1"/>
  <c r="L328" i="4" s="1"/>
  <c r="D333" i="1"/>
  <c r="D328" i="4" s="1"/>
  <c r="C333" i="1"/>
  <c r="C328" i="4" s="1"/>
  <c r="B333" i="1"/>
  <c r="B328" i="4" s="1"/>
  <c r="I335" i="1" l="1"/>
  <c r="I330" i="4" s="1"/>
  <c r="E329" i="4"/>
  <c r="A459" i="1"/>
  <c r="A453" i="4"/>
  <c r="G334" i="1"/>
  <c r="G329" i="4" s="1"/>
  <c r="E333" i="1"/>
  <c r="D332" i="1"/>
  <c r="D327" i="4" s="1"/>
  <c r="C332" i="1"/>
  <c r="C327" i="4" s="1"/>
  <c r="B332" i="1"/>
  <c r="B327" i="4" s="1"/>
  <c r="A460" i="1" l="1"/>
  <c r="A454" i="4"/>
  <c r="J334" i="1"/>
  <c r="J329" i="4" s="1"/>
  <c r="E328" i="4"/>
  <c r="G333" i="1"/>
  <c r="G328" i="4" s="1"/>
  <c r="I334" i="1"/>
  <c r="I329" i="4" s="1"/>
  <c r="H332" i="1"/>
  <c r="H327" i="4" s="1"/>
  <c r="K332" i="1"/>
  <c r="K327" i="4" s="1"/>
  <c r="L332" i="1"/>
  <c r="L327" i="4" s="1"/>
  <c r="E332" i="1"/>
  <c r="E327" i="4" s="1"/>
  <c r="A461" i="1" l="1"/>
  <c r="A455" i="4"/>
  <c r="J333" i="1"/>
  <c r="J328" i="4" s="1"/>
  <c r="I333" i="1"/>
  <c r="I328" i="4" s="1"/>
  <c r="G332" i="1"/>
  <c r="G327" i="4" s="1"/>
  <c r="H331" i="1"/>
  <c r="H326" i="4" s="1"/>
  <c r="K331" i="1"/>
  <c r="K326" i="4" s="1"/>
  <c r="L331" i="1"/>
  <c r="L326" i="4" s="1"/>
  <c r="D331" i="1"/>
  <c r="D326" i="4" s="1"/>
  <c r="C331" i="1"/>
  <c r="C326" i="4" s="1"/>
  <c r="B331" i="1"/>
  <c r="B326" i="4" s="1"/>
  <c r="A462" i="1" l="1"/>
  <c r="A456" i="4"/>
  <c r="E331" i="1"/>
  <c r="H330" i="1"/>
  <c r="H325" i="4" s="1"/>
  <c r="K330" i="1"/>
  <c r="K325" i="4" s="1"/>
  <c r="L330" i="1"/>
  <c r="L325" i="4" s="1"/>
  <c r="D330" i="1"/>
  <c r="D325" i="4" s="1"/>
  <c r="C330" i="1"/>
  <c r="C325" i="4" s="1"/>
  <c r="B330" i="1"/>
  <c r="B325" i="4" s="1"/>
  <c r="J332" i="1" l="1"/>
  <c r="J327" i="4" s="1"/>
  <c r="E326" i="4"/>
  <c r="A463" i="1"/>
  <c r="A457" i="4"/>
  <c r="G331" i="1"/>
  <c r="G326" i="4" s="1"/>
  <c r="I332" i="1"/>
  <c r="I327" i="4" s="1"/>
  <c r="E330" i="1"/>
  <c r="G330" i="1" s="1"/>
  <c r="G325" i="4" s="1"/>
  <c r="D329" i="1"/>
  <c r="D324" i="4" s="1"/>
  <c r="C329" i="1"/>
  <c r="C324" i="4" s="1"/>
  <c r="B329" i="1"/>
  <c r="B324" i="4" s="1"/>
  <c r="H329" i="1"/>
  <c r="H324" i="4" s="1"/>
  <c r="K329" i="1"/>
  <c r="K324" i="4" s="1"/>
  <c r="L329" i="1"/>
  <c r="L324" i="4" s="1"/>
  <c r="J331" i="1" l="1"/>
  <c r="J326" i="4" s="1"/>
  <c r="E325" i="4"/>
  <c r="A464" i="1"/>
  <c r="A458" i="4"/>
  <c r="I331" i="1"/>
  <c r="I326" i="4" s="1"/>
  <c r="E329" i="1"/>
  <c r="J330" i="1" s="1"/>
  <c r="J325" i="4" s="1"/>
  <c r="H328" i="1"/>
  <c r="H323" i="4" s="1"/>
  <c r="K328" i="1"/>
  <c r="K323" i="4" s="1"/>
  <c r="L328" i="1"/>
  <c r="L323" i="4" s="1"/>
  <c r="D328" i="1"/>
  <c r="D323" i="4" s="1"/>
  <c r="C328" i="1"/>
  <c r="C323" i="4" s="1"/>
  <c r="B328" i="1"/>
  <c r="B323" i="4" s="1"/>
  <c r="I330" i="1" l="1"/>
  <c r="I325" i="4" s="1"/>
  <c r="G329" i="1"/>
  <c r="G324" i="4" s="1"/>
  <c r="E324" i="4"/>
  <c r="A465" i="1"/>
  <c r="A459" i="4"/>
  <c r="E328" i="1"/>
  <c r="D327" i="1"/>
  <c r="D322" i="4" s="1"/>
  <c r="C327" i="1"/>
  <c r="C322" i="4" s="1"/>
  <c r="B327" i="1"/>
  <c r="B322" i="4" s="1"/>
  <c r="A466" i="1" l="1"/>
  <c r="A460" i="4"/>
  <c r="J329" i="1"/>
  <c r="J324" i="4" s="1"/>
  <c r="E323" i="4"/>
  <c r="I329" i="1"/>
  <c r="I324" i="4" s="1"/>
  <c r="G328" i="1"/>
  <c r="G323" i="4" s="1"/>
  <c r="E327" i="1"/>
  <c r="H327" i="1"/>
  <c r="H322" i="4" s="1"/>
  <c r="K327" i="1"/>
  <c r="K322" i="4" s="1"/>
  <c r="L327" i="1"/>
  <c r="L322" i="4" s="1"/>
  <c r="J328" i="1" l="1"/>
  <c r="J323" i="4" s="1"/>
  <c r="E322" i="4"/>
  <c r="A467" i="1"/>
  <c r="A461" i="4"/>
  <c r="G327" i="1"/>
  <c r="G322" i="4" s="1"/>
  <c r="I328" i="1"/>
  <c r="I323" i="4" s="1"/>
  <c r="D326" i="1"/>
  <c r="D321" i="4" s="1"/>
  <c r="C326" i="1"/>
  <c r="C321" i="4" s="1"/>
  <c r="B326" i="1"/>
  <c r="B321" i="4" s="1"/>
  <c r="A468" i="1" l="1"/>
  <c r="A462" i="4"/>
  <c r="E326" i="1"/>
  <c r="H326" i="1"/>
  <c r="H321" i="4" s="1"/>
  <c r="K326" i="1"/>
  <c r="K321" i="4" s="1"/>
  <c r="L326" i="1"/>
  <c r="L321" i="4" s="1"/>
  <c r="J327" i="1" l="1"/>
  <c r="J322" i="4" s="1"/>
  <c r="E321" i="4"/>
  <c r="A469" i="1"/>
  <c r="A463" i="4"/>
  <c r="I327" i="1"/>
  <c r="I322" i="4" s="1"/>
  <c r="G326" i="1"/>
  <c r="G321" i="4" s="1"/>
  <c r="H325" i="1"/>
  <c r="H320" i="4" s="1"/>
  <c r="K325" i="1"/>
  <c r="K320" i="4" s="1"/>
  <c r="L325" i="1"/>
  <c r="L320" i="4" s="1"/>
  <c r="D325" i="1"/>
  <c r="D320" i="4" s="1"/>
  <c r="C325" i="1"/>
  <c r="C320" i="4" s="1"/>
  <c r="B325" i="1"/>
  <c r="B320" i="4" s="1"/>
  <c r="A470" i="1" l="1"/>
  <c r="A464" i="4"/>
  <c r="E325" i="1"/>
  <c r="D324" i="1"/>
  <c r="D319" i="4" s="1"/>
  <c r="C324" i="1"/>
  <c r="C319" i="4" s="1"/>
  <c r="B324" i="1"/>
  <c r="B319" i="4" s="1"/>
  <c r="H324" i="1"/>
  <c r="H319" i="4" s="1"/>
  <c r="K324" i="1"/>
  <c r="K319" i="4" s="1"/>
  <c r="L324" i="1"/>
  <c r="L319" i="4" s="1"/>
  <c r="I326" i="1" l="1"/>
  <c r="I321" i="4" s="1"/>
  <c r="E320" i="4"/>
  <c r="A471" i="1"/>
  <c r="A465" i="4"/>
  <c r="G325" i="1"/>
  <c r="G320" i="4" s="1"/>
  <c r="J326" i="1"/>
  <c r="J321" i="4" s="1"/>
  <c r="E324" i="1"/>
  <c r="J325" i="1" s="1"/>
  <c r="J320" i="4" s="1"/>
  <c r="H323" i="1"/>
  <c r="H318" i="4" s="1"/>
  <c r="K323" i="1"/>
  <c r="K318" i="4" s="1"/>
  <c r="L323" i="1"/>
  <c r="L318" i="4" s="1"/>
  <c r="D323" i="1"/>
  <c r="D318" i="4" s="1"/>
  <c r="C323" i="1"/>
  <c r="C318" i="4" s="1"/>
  <c r="B323" i="1"/>
  <c r="B318" i="4" s="1"/>
  <c r="G324" i="1" l="1"/>
  <c r="G319" i="4" s="1"/>
  <c r="E319" i="4"/>
  <c r="A472" i="1"/>
  <c r="A466" i="4"/>
  <c r="I325" i="1"/>
  <c r="I320" i="4" s="1"/>
  <c r="E323" i="1"/>
  <c r="J324" i="1" s="1"/>
  <c r="J319" i="4" s="1"/>
  <c r="D322" i="1"/>
  <c r="D317" i="4" s="1"/>
  <c r="C322" i="1"/>
  <c r="C317" i="4" s="1"/>
  <c r="B322" i="1"/>
  <c r="B317" i="4" s="1"/>
  <c r="I324" i="1" l="1"/>
  <c r="I319" i="4" s="1"/>
  <c r="E318" i="4"/>
  <c r="A473" i="1"/>
  <c r="A467" i="4"/>
  <c r="G323" i="1"/>
  <c r="G318" i="4" s="1"/>
  <c r="E322" i="1"/>
  <c r="H322" i="1"/>
  <c r="H317" i="4" s="1"/>
  <c r="K322" i="1"/>
  <c r="K317" i="4" s="1"/>
  <c r="L322" i="1"/>
  <c r="L317" i="4" s="1"/>
  <c r="A474" i="1" l="1"/>
  <c r="A468" i="4"/>
  <c r="I323" i="1"/>
  <c r="I318" i="4" s="1"/>
  <c r="E317" i="4"/>
  <c r="G322" i="1"/>
  <c r="G317" i="4" s="1"/>
  <c r="J323" i="1"/>
  <c r="J318" i="4" s="1"/>
  <c r="D321" i="1"/>
  <c r="D316" i="4" s="1"/>
  <c r="C321" i="1"/>
  <c r="C316" i="4" s="1"/>
  <c r="B321" i="1"/>
  <c r="B316" i="4" s="1"/>
  <c r="A475" i="1" l="1"/>
  <c r="A469" i="4"/>
  <c r="E321" i="1"/>
  <c r="G321" i="1" s="1"/>
  <c r="G316" i="4" s="1"/>
  <c r="H320" i="1"/>
  <c r="H315" i="4" s="1"/>
  <c r="K320" i="1"/>
  <c r="K315" i="4" s="1"/>
  <c r="L320" i="1"/>
  <c r="L315" i="4" s="1"/>
  <c r="H321" i="1"/>
  <c r="H316" i="4" s="1"/>
  <c r="K321" i="1"/>
  <c r="K316" i="4" s="1"/>
  <c r="L321" i="1"/>
  <c r="L316" i="4" s="1"/>
  <c r="J322" i="1" l="1"/>
  <c r="J317" i="4" s="1"/>
  <c r="E316" i="4"/>
  <c r="A476" i="1"/>
  <c r="A470" i="4"/>
  <c r="I322" i="1"/>
  <c r="I317" i="4" s="1"/>
  <c r="D320" i="1"/>
  <c r="D315" i="4" s="1"/>
  <c r="C320" i="1"/>
  <c r="C315" i="4" s="1"/>
  <c r="B320" i="1"/>
  <c r="B315" i="4" s="1"/>
  <c r="A477" i="1" l="1"/>
  <c r="A471" i="4"/>
  <c r="E320" i="1"/>
  <c r="H319" i="1"/>
  <c r="H314" i="4" s="1"/>
  <c r="K319" i="1"/>
  <c r="K314" i="4" s="1"/>
  <c r="L319" i="1"/>
  <c r="L314" i="4" s="1"/>
  <c r="D319" i="1"/>
  <c r="D314" i="4" s="1"/>
  <c r="C319" i="1"/>
  <c r="C314" i="4" s="1"/>
  <c r="B319" i="1"/>
  <c r="B314" i="4" s="1"/>
  <c r="I321" i="1" l="1"/>
  <c r="I316" i="4" s="1"/>
  <c r="E315" i="4"/>
  <c r="A478" i="1"/>
  <c r="A472" i="4"/>
  <c r="E319" i="1"/>
  <c r="I320" i="1" s="1"/>
  <c r="I315" i="4" s="1"/>
  <c r="J321" i="1"/>
  <c r="J316" i="4" s="1"/>
  <c r="G320" i="1"/>
  <c r="G315" i="4" s="1"/>
  <c r="H318" i="1"/>
  <c r="H313" i="4" s="1"/>
  <c r="K318" i="1"/>
  <c r="K313" i="4" s="1"/>
  <c r="L318" i="1"/>
  <c r="L313" i="4" s="1"/>
  <c r="D318" i="1"/>
  <c r="D313" i="4" s="1"/>
  <c r="C318" i="1"/>
  <c r="C313" i="4" s="1"/>
  <c r="B318" i="1"/>
  <c r="B313" i="4" s="1"/>
  <c r="A479" i="1" l="1"/>
  <c r="A473" i="4"/>
  <c r="J320" i="1"/>
  <c r="J315" i="4" s="1"/>
  <c r="E314" i="4"/>
  <c r="G319" i="1"/>
  <c r="G314" i="4" s="1"/>
  <c r="E318" i="1"/>
  <c r="J319" i="1" s="1"/>
  <c r="J314" i="4" s="1"/>
  <c r="D317" i="1"/>
  <c r="D312" i="4" s="1"/>
  <c r="C317" i="1"/>
  <c r="C312" i="4" s="1"/>
  <c r="B317" i="1"/>
  <c r="B312" i="4" s="1"/>
  <c r="I319" i="1" l="1"/>
  <c r="I314" i="4" s="1"/>
  <c r="E313" i="4"/>
  <c r="A480" i="1"/>
  <c r="A474" i="4"/>
  <c r="E317" i="1"/>
  <c r="G318" i="1"/>
  <c r="G313" i="4" s="1"/>
  <c r="H317" i="1"/>
  <c r="H312" i="4" s="1"/>
  <c r="K317" i="1"/>
  <c r="K312" i="4" s="1"/>
  <c r="L317" i="1"/>
  <c r="L312" i="4" s="1"/>
  <c r="A481" i="1" l="1"/>
  <c r="A475" i="4"/>
  <c r="J318" i="1"/>
  <c r="J313" i="4" s="1"/>
  <c r="E312" i="4"/>
  <c r="G317" i="1"/>
  <c r="G312" i="4" s="1"/>
  <c r="I318" i="1"/>
  <c r="I313" i="4" s="1"/>
  <c r="D316" i="1"/>
  <c r="D311" i="4" s="1"/>
  <c r="C316" i="1"/>
  <c r="C311" i="4" s="1"/>
  <c r="B316" i="1"/>
  <c r="B311" i="4" s="1"/>
  <c r="A482" i="1" l="1"/>
  <c r="A476" i="4"/>
  <c r="E316" i="1"/>
  <c r="I317" i="1" s="1"/>
  <c r="I312" i="4" s="1"/>
  <c r="H316" i="1"/>
  <c r="H311" i="4" s="1"/>
  <c r="K316" i="1"/>
  <c r="K311" i="4" s="1"/>
  <c r="L316" i="1"/>
  <c r="L311" i="4" s="1"/>
  <c r="A483" i="1" l="1"/>
  <c r="A477" i="4"/>
  <c r="J317" i="1"/>
  <c r="J312" i="4" s="1"/>
  <c r="E311" i="4"/>
  <c r="G316" i="1"/>
  <c r="G311" i="4" s="1"/>
  <c r="D315" i="1"/>
  <c r="D310" i="4" s="1"/>
  <c r="C315" i="1"/>
  <c r="C310" i="4" s="1"/>
  <c r="B315" i="1"/>
  <c r="B310" i="4" s="1"/>
  <c r="A484" i="1" l="1"/>
  <c r="A478" i="4"/>
  <c r="E315" i="1"/>
  <c r="H315" i="1"/>
  <c r="H310" i="4" s="1"/>
  <c r="K315" i="1"/>
  <c r="K310" i="4" s="1"/>
  <c r="L315" i="1"/>
  <c r="L310" i="4" s="1"/>
  <c r="I316" i="1" l="1"/>
  <c r="I311" i="4" s="1"/>
  <c r="E310" i="4"/>
  <c r="A485" i="1"/>
  <c r="A479" i="4"/>
  <c r="G315" i="1"/>
  <c r="G310" i="4" s="1"/>
  <c r="J316" i="1"/>
  <c r="J311" i="4" s="1"/>
  <c r="H314" i="1"/>
  <c r="H309" i="4" s="1"/>
  <c r="K314" i="1"/>
  <c r="K309" i="4" s="1"/>
  <c r="L314" i="1"/>
  <c r="L309" i="4" s="1"/>
  <c r="D314" i="1"/>
  <c r="D309" i="4" s="1"/>
  <c r="C314" i="1"/>
  <c r="C309" i="4" s="1"/>
  <c r="B314" i="1"/>
  <c r="A486" i="1" l="1"/>
  <c r="A480" i="4"/>
  <c r="E314" i="1"/>
  <c r="E309" i="4" s="1"/>
  <c r="B309" i="4"/>
  <c r="H313" i="1"/>
  <c r="H308" i="4" s="1"/>
  <c r="K313" i="1"/>
  <c r="K308" i="4" s="1"/>
  <c r="L313" i="1"/>
  <c r="L308" i="4" s="1"/>
  <c r="D313" i="1"/>
  <c r="D308" i="4" s="1"/>
  <c r="C313" i="1"/>
  <c r="C308" i="4" s="1"/>
  <c r="B313" i="1"/>
  <c r="B308" i="4" s="1"/>
  <c r="J315" i="1" l="1"/>
  <c r="J310" i="4" s="1"/>
  <c r="G314" i="1"/>
  <c r="G309" i="4" s="1"/>
  <c r="I315" i="1"/>
  <c r="I310" i="4" s="1"/>
  <c r="A487" i="1"/>
  <c r="A481" i="4"/>
  <c r="E313" i="1"/>
  <c r="L312" i="1"/>
  <c r="L307" i="4" s="1"/>
  <c r="K312" i="1"/>
  <c r="K307" i="4" s="1"/>
  <c r="H312" i="1"/>
  <c r="H307" i="4" s="1"/>
  <c r="D312" i="1"/>
  <c r="D307" i="4" s="1"/>
  <c r="C312" i="1"/>
  <c r="C307" i="4" s="1"/>
  <c r="B312" i="1"/>
  <c r="B307" i="4" s="1"/>
  <c r="A488" i="1" l="1"/>
  <c r="A482" i="4"/>
  <c r="J314" i="1"/>
  <c r="J309" i="4" s="1"/>
  <c r="E308" i="4"/>
  <c r="G313" i="1"/>
  <c r="G308" i="4" s="1"/>
  <c r="I314" i="1"/>
  <c r="I309" i="4" s="1"/>
  <c r="E312" i="1"/>
  <c r="I313" i="1" s="1"/>
  <c r="I308" i="4" s="1"/>
  <c r="G312" i="1" l="1"/>
  <c r="G307" i="4" s="1"/>
  <c r="E307" i="4"/>
  <c r="A489" i="1"/>
  <c r="A483" i="4"/>
  <c r="J313" i="1"/>
  <c r="J308" i="4" s="1"/>
  <c r="H311" i="1"/>
  <c r="H306" i="4" s="1"/>
  <c r="K311" i="1"/>
  <c r="K306" i="4" s="1"/>
  <c r="L311" i="1"/>
  <c r="L306" i="4" s="1"/>
  <c r="D311" i="1"/>
  <c r="D306" i="4" s="1"/>
  <c r="C311" i="1"/>
  <c r="C306" i="4" s="1"/>
  <c r="B311" i="1"/>
  <c r="B306" i="4" s="1"/>
  <c r="A490" i="1" l="1"/>
  <c r="A484" i="4"/>
  <c r="E311" i="1"/>
  <c r="J312" i="1" s="1"/>
  <c r="J307" i="4" s="1"/>
  <c r="H310" i="1"/>
  <c r="H305" i="4" s="1"/>
  <c r="K310" i="1"/>
  <c r="K305" i="4" s="1"/>
  <c r="L310" i="1"/>
  <c r="L305" i="4" s="1"/>
  <c r="D310" i="1"/>
  <c r="D305" i="4" s="1"/>
  <c r="C310" i="1"/>
  <c r="C305" i="4" s="1"/>
  <c r="B310" i="1"/>
  <c r="B305" i="4" s="1"/>
  <c r="A491" i="1" l="1"/>
  <c r="A485" i="4"/>
  <c r="I312" i="1"/>
  <c r="I307" i="4" s="1"/>
  <c r="E306" i="4"/>
  <c r="G311" i="1"/>
  <c r="G306" i="4" s="1"/>
  <c r="E310" i="1"/>
  <c r="D309" i="1"/>
  <c r="D304" i="4" s="1"/>
  <c r="C309" i="1"/>
  <c r="C304" i="4" s="1"/>
  <c r="B309" i="1"/>
  <c r="B304" i="4" s="1"/>
  <c r="J311" i="1" l="1"/>
  <c r="J306" i="4" s="1"/>
  <c r="E305" i="4"/>
  <c r="A492" i="1"/>
  <c r="A486" i="4"/>
  <c r="G310" i="1"/>
  <c r="G305" i="4" s="1"/>
  <c r="I311" i="1"/>
  <c r="I306" i="4" s="1"/>
  <c r="E309" i="1"/>
  <c r="G309" i="1" s="1"/>
  <c r="G304" i="4" s="1"/>
  <c r="H309" i="1"/>
  <c r="H304" i="4" s="1"/>
  <c r="K309" i="1"/>
  <c r="K304" i="4" s="1"/>
  <c r="L309" i="1"/>
  <c r="L304" i="4" s="1"/>
  <c r="I310" i="1" l="1"/>
  <c r="I305" i="4" s="1"/>
  <c r="E304" i="4"/>
  <c r="A493" i="1"/>
  <c r="A487" i="4"/>
  <c r="J310" i="1"/>
  <c r="J305" i="4" s="1"/>
  <c r="D308" i="1"/>
  <c r="D303" i="4" s="1"/>
  <c r="C308" i="1"/>
  <c r="C303" i="4" s="1"/>
  <c r="B308" i="1"/>
  <c r="B303" i="4" s="1"/>
  <c r="A494" i="1" l="1"/>
  <c r="A488" i="4"/>
  <c r="E308" i="1"/>
  <c r="H308" i="1"/>
  <c r="H303" i="4" s="1"/>
  <c r="K308" i="1"/>
  <c r="K303" i="4" s="1"/>
  <c r="L308" i="1"/>
  <c r="L303" i="4" s="1"/>
  <c r="I309" i="1" l="1"/>
  <c r="I304" i="4" s="1"/>
  <c r="E303" i="4"/>
  <c r="A495" i="1"/>
  <c r="A489" i="4"/>
  <c r="G308" i="1"/>
  <c r="G303" i="4" s="1"/>
  <c r="J309" i="1"/>
  <c r="J304" i="4" s="1"/>
  <c r="H307" i="1"/>
  <c r="H302" i="4" s="1"/>
  <c r="K307" i="1"/>
  <c r="K302" i="4" s="1"/>
  <c r="L307" i="1"/>
  <c r="L302" i="4" s="1"/>
  <c r="D307" i="1"/>
  <c r="D302" i="4" s="1"/>
  <c r="C307" i="1"/>
  <c r="C302" i="4" s="1"/>
  <c r="B307" i="1"/>
  <c r="B302" i="4" s="1"/>
  <c r="A496" i="1" l="1"/>
  <c r="A490" i="4"/>
  <c r="E307" i="1"/>
  <c r="D306" i="1"/>
  <c r="D301" i="4" s="1"/>
  <c r="C306" i="1"/>
  <c r="C301" i="4" s="1"/>
  <c r="B306" i="1"/>
  <c r="B301" i="4" s="1"/>
  <c r="G307" i="1" l="1"/>
  <c r="G302" i="4" s="1"/>
  <c r="E302" i="4"/>
  <c r="A497" i="1"/>
  <c r="A491" i="4"/>
  <c r="I308" i="1"/>
  <c r="I303" i="4" s="1"/>
  <c r="J308" i="1"/>
  <c r="J303" i="4" s="1"/>
  <c r="E306" i="1"/>
  <c r="J307" i="1" s="1"/>
  <c r="J302" i="4" s="1"/>
  <c r="H306" i="1"/>
  <c r="H301" i="4" s="1"/>
  <c r="K306" i="1"/>
  <c r="K301" i="4" s="1"/>
  <c r="L306" i="1"/>
  <c r="L301" i="4" s="1"/>
  <c r="A498" i="1" l="1"/>
  <c r="A492" i="4"/>
  <c r="I307" i="1"/>
  <c r="I302" i="4" s="1"/>
  <c r="E301" i="4"/>
  <c r="G306" i="1"/>
  <c r="G301" i="4" s="1"/>
  <c r="H305" i="1"/>
  <c r="H300" i="4" s="1"/>
  <c r="K305" i="1"/>
  <c r="K300" i="4" s="1"/>
  <c r="L305" i="1"/>
  <c r="L300" i="4" s="1"/>
  <c r="D305" i="1"/>
  <c r="D300" i="4" s="1"/>
  <c r="C305" i="1"/>
  <c r="C300" i="4" s="1"/>
  <c r="B305" i="1"/>
  <c r="B300" i="4" s="1"/>
  <c r="A499" i="1" l="1"/>
  <c r="A493" i="4"/>
  <c r="E305" i="1"/>
  <c r="I306" i="1" s="1"/>
  <c r="I301" i="4" s="1"/>
  <c r="D304" i="1"/>
  <c r="D299" i="4" s="1"/>
  <c r="C304" i="1"/>
  <c r="C299" i="4" s="1"/>
  <c r="B304" i="1"/>
  <c r="B299" i="4" s="1"/>
  <c r="G305" i="1" l="1"/>
  <c r="G300" i="4" s="1"/>
  <c r="E300" i="4"/>
  <c r="A500" i="1"/>
  <c r="A494" i="4"/>
  <c r="J306" i="1"/>
  <c r="J301" i="4" s="1"/>
  <c r="E304" i="1"/>
  <c r="J305" i="1" s="1"/>
  <c r="J300" i="4" s="1"/>
  <c r="H304" i="1"/>
  <c r="H299" i="4" s="1"/>
  <c r="K304" i="1"/>
  <c r="K299" i="4" s="1"/>
  <c r="L304" i="1"/>
  <c r="L299" i="4" s="1"/>
  <c r="I305" i="1" l="1"/>
  <c r="I300" i="4" s="1"/>
  <c r="A501" i="1"/>
  <c r="A495" i="4"/>
  <c r="G304" i="1"/>
  <c r="G299" i="4" s="1"/>
  <c r="E299" i="4"/>
  <c r="D303" i="1"/>
  <c r="D298" i="4" s="1"/>
  <c r="C303" i="1"/>
  <c r="C298" i="4" s="1"/>
  <c r="B303" i="1"/>
  <c r="B298" i="4" s="1"/>
  <c r="A502" i="1" l="1"/>
  <c r="A496" i="4"/>
  <c r="E303" i="1"/>
  <c r="H303" i="1"/>
  <c r="H298" i="4" s="1"/>
  <c r="K303" i="1"/>
  <c r="K298" i="4" s="1"/>
  <c r="L303" i="1"/>
  <c r="L298" i="4" s="1"/>
  <c r="I304" i="1" l="1"/>
  <c r="I299" i="4" s="1"/>
  <c r="E298" i="4"/>
  <c r="A503" i="1"/>
  <c r="A497" i="4"/>
  <c r="G303" i="1"/>
  <c r="G298" i="4" s="1"/>
  <c r="J304" i="1"/>
  <c r="J299" i="4" s="1"/>
  <c r="H302" i="1"/>
  <c r="H297" i="4" s="1"/>
  <c r="K302" i="1"/>
  <c r="K297" i="4" s="1"/>
  <c r="L302" i="1"/>
  <c r="L297" i="4" s="1"/>
  <c r="D302" i="1"/>
  <c r="D297" i="4" s="1"/>
  <c r="C302" i="1"/>
  <c r="C297" i="4" s="1"/>
  <c r="B302" i="1"/>
  <c r="B297" i="4" s="1"/>
  <c r="A504" i="1" l="1"/>
  <c r="A498" i="4"/>
  <c r="E302" i="1"/>
  <c r="J303" i="1" s="1"/>
  <c r="J298" i="4" s="1"/>
  <c r="H301" i="1"/>
  <c r="H296" i="4" s="1"/>
  <c r="K301" i="1"/>
  <c r="K296" i="4" s="1"/>
  <c r="L301" i="1"/>
  <c r="L296" i="4" s="1"/>
  <c r="D301" i="1"/>
  <c r="D296" i="4" s="1"/>
  <c r="C301" i="1"/>
  <c r="C296" i="4" s="1"/>
  <c r="B301" i="1"/>
  <c r="B296" i="4" s="1"/>
  <c r="G302" i="1" l="1"/>
  <c r="G297" i="4" s="1"/>
  <c r="E297" i="4"/>
  <c r="A505" i="1"/>
  <c r="A499" i="4"/>
  <c r="I303" i="1"/>
  <c r="I298" i="4" s="1"/>
  <c r="E301" i="1"/>
  <c r="E296" i="4" s="1"/>
  <c r="H300" i="1"/>
  <c r="H295" i="4" s="1"/>
  <c r="K300" i="1"/>
  <c r="K295" i="4" s="1"/>
  <c r="L300" i="1"/>
  <c r="L295" i="4" s="1"/>
  <c r="D300" i="1"/>
  <c r="D295" i="4" s="1"/>
  <c r="C300" i="1"/>
  <c r="C295" i="4" s="1"/>
  <c r="B300" i="1"/>
  <c r="B295" i="4" s="1"/>
  <c r="G301" i="1" l="1"/>
  <c r="G296" i="4" s="1"/>
  <c r="J302" i="1"/>
  <c r="J297" i="4" s="1"/>
  <c r="I302" i="1"/>
  <c r="I297" i="4" s="1"/>
  <c r="A506" i="1"/>
  <c r="A500" i="4"/>
  <c r="E300" i="1"/>
  <c r="J301" i="1" s="1"/>
  <c r="J296" i="4" s="1"/>
  <c r="D299" i="1"/>
  <c r="D294" i="4" s="1"/>
  <c r="C299" i="1"/>
  <c r="C294" i="4" s="1"/>
  <c r="B299" i="1"/>
  <c r="B294" i="4" s="1"/>
  <c r="H299" i="1"/>
  <c r="H294" i="4" s="1"/>
  <c r="K299" i="1"/>
  <c r="K294" i="4" s="1"/>
  <c r="L299" i="1"/>
  <c r="L294" i="4" s="1"/>
  <c r="H298" i="1"/>
  <c r="H293" i="4" s="1"/>
  <c r="K298" i="1"/>
  <c r="K293" i="4" s="1"/>
  <c r="L298" i="1"/>
  <c r="L293" i="4" s="1"/>
  <c r="D298" i="1"/>
  <c r="D293" i="4" s="1"/>
  <c r="C298" i="1"/>
  <c r="C293" i="4" s="1"/>
  <c r="B298" i="1"/>
  <c r="B293" i="4" s="1"/>
  <c r="D297" i="1"/>
  <c r="D292" i="4" s="1"/>
  <c r="C297" i="1"/>
  <c r="C292" i="4" s="1"/>
  <c r="B297" i="1"/>
  <c r="B292" i="4" s="1"/>
  <c r="H297" i="1"/>
  <c r="H292" i="4" s="1"/>
  <c r="K297" i="1"/>
  <c r="K292" i="4" s="1"/>
  <c r="L297" i="1"/>
  <c r="L292" i="4" s="1"/>
  <c r="D296" i="1"/>
  <c r="D291" i="4" s="1"/>
  <c r="C296" i="1"/>
  <c r="C291" i="4" s="1"/>
  <c r="B296" i="1"/>
  <c r="B291" i="4" s="1"/>
  <c r="H296" i="1"/>
  <c r="H291" i="4" s="1"/>
  <c r="K296" i="1"/>
  <c r="K291" i="4" s="1"/>
  <c r="L296" i="1"/>
  <c r="L291" i="4" s="1"/>
  <c r="H295" i="1"/>
  <c r="H290" i="4" s="1"/>
  <c r="K295" i="1"/>
  <c r="K290" i="4" s="1"/>
  <c r="L295" i="1"/>
  <c r="L290" i="4" s="1"/>
  <c r="D295" i="1"/>
  <c r="D290" i="4" s="1"/>
  <c r="C295" i="1"/>
  <c r="C290" i="4" s="1"/>
  <c r="B295" i="1"/>
  <c r="B290" i="4" s="1"/>
  <c r="D294" i="1"/>
  <c r="D289" i="4" s="1"/>
  <c r="C294" i="1"/>
  <c r="C289" i="4" s="1"/>
  <c r="B294" i="1"/>
  <c r="B289" i="4" s="1"/>
  <c r="H294" i="1"/>
  <c r="H289" i="4" s="1"/>
  <c r="K294" i="1"/>
  <c r="K289" i="4" s="1"/>
  <c r="L294" i="1"/>
  <c r="L289" i="4" s="1"/>
  <c r="I301" i="1" l="1"/>
  <c r="I296" i="4" s="1"/>
  <c r="E295" i="4"/>
  <c r="A507" i="1"/>
  <c r="A501" i="4"/>
  <c r="G300" i="1"/>
  <c r="G295" i="4" s="1"/>
  <c r="E299" i="1"/>
  <c r="E298" i="1"/>
  <c r="E293" i="4" s="1"/>
  <c r="J300" i="1"/>
  <c r="J295" i="4" s="1"/>
  <c r="E294" i="1"/>
  <c r="E295" i="1"/>
  <c r="E297" i="1"/>
  <c r="G298" i="1"/>
  <c r="G293" i="4" s="1"/>
  <c r="E296" i="1"/>
  <c r="H293" i="1"/>
  <c r="H288" i="4" s="1"/>
  <c r="K293" i="1"/>
  <c r="K288" i="4" s="1"/>
  <c r="L293" i="1"/>
  <c r="L288" i="4" s="1"/>
  <c r="D293" i="1"/>
  <c r="D288" i="4" s="1"/>
  <c r="C293" i="1"/>
  <c r="C288" i="4" s="1"/>
  <c r="B293" i="1"/>
  <c r="B288" i="4" s="1"/>
  <c r="H292" i="1"/>
  <c r="H287" i="4" s="1"/>
  <c r="K292" i="1"/>
  <c r="K287" i="4" s="1"/>
  <c r="L292" i="1"/>
  <c r="L287" i="4" s="1"/>
  <c r="D292" i="1"/>
  <c r="D287" i="4" s="1"/>
  <c r="C292" i="1"/>
  <c r="C287" i="4" s="1"/>
  <c r="B292" i="1"/>
  <c r="B287" i="4" s="1"/>
  <c r="H291" i="1"/>
  <c r="H286" i="4" s="1"/>
  <c r="K291" i="1"/>
  <c r="K286" i="4" s="1"/>
  <c r="L291" i="1"/>
  <c r="L286" i="4" s="1"/>
  <c r="D291" i="1"/>
  <c r="D286" i="4" s="1"/>
  <c r="C291" i="1"/>
  <c r="C286" i="4" s="1"/>
  <c r="B291" i="1"/>
  <c r="B286" i="4" s="1"/>
  <c r="D290" i="1"/>
  <c r="D285" i="4" s="1"/>
  <c r="C290" i="1"/>
  <c r="C285" i="4" s="1"/>
  <c r="B290" i="1"/>
  <c r="B285" i="4" s="1"/>
  <c r="H290" i="1"/>
  <c r="H285" i="4" s="1"/>
  <c r="K290" i="1"/>
  <c r="K285" i="4" s="1"/>
  <c r="L290" i="1"/>
  <c r="L285" i="4" s="1"/>
  <c r="D289" i="1"/>
  <c r="D284" i="4" s="1"/>
  <c r="C289" i="1"/>
  <c r="C284" i="4" s="1"/>
  <c r="B289" i="1"/>
  <c r="B284" i="4" s="1"/>
  <c r="H289" i="1"/>
  <c r="H284" i="4" s="1"/>
  <c r="K289" i="1"/>
  <c r="K284" i="4" s="1"/>
  <c r="L289" i="1"/>
  <c r="L284" i="4" s="1"/>
  <c r="D288" i="1"/>
  <c r="D283" i="4" s="1"/>
  <c r="C288" i="1"/>
  <c r="C283" i="4" s="1"/>
  <c r="B288" i="1"/>
  <c r="B283" i="4" s="1"/>
  <c r="H288" i="1"/>
  <c r="H283" i="4" s="1"/>
  <c r="K288" i="1"/>
  <c r="K283" i="4" s="1"/>
  <c r="L288" i="1"/>
  <c r="L283" i="4" s="1"/>
  <c r="D287" i="1"/>
  <c r="D282" i="4" s="1"/>
  <c r="C287" i="1"/>
  <c r="C282" i="4" s="1"/>
  <c r="B287" i="1"/>
  <c r="B282" i="4" s="1"/>
  <c r="H287" i="1"/>
  <c r="H282" i="4" s="1"/>
  <c r="K287" i="1"/>
  <c r="K282" i="4" s="1"/>
  <c r="L287" i="1"/>
  <c r="L282" i="4" s="1"/>
  <c r="D286" i="1"/>
  <c r="D281" i="4" s="1"/>
  <c r="C286" i="1"/>
  <c r="C281" i="4" s="1"/>
  <c r="B286" i="1"/>
  <c r="B281" i="4" s="1"/>
  <c r="H286" i="1"/>
  <c r="H281" i="4" s="1"/>
  <c r="K286" i="1"/>
  <c r="K281" i="4" s="1"/>
  <c r="L286" i="1"/>
  <c r="L281" i="4" s="1"/>
  <c r="D285" i="1"/>
  <c r="D280" i="4" s="1"/>
  <c r="C285" i="1"/>
  <c r="C280" i="4" s="1"/>
  <c r="B285" i="1"/>
  <c r="B280" i="4" s="1"/>
  <c r="H285" i="1"/>
  <c r="H280" i="4" s="1"/>
  <c r="K285" i="1"/>
  <c r="K280" i="4" s="1"/>
  <c r="L285" i="1"/>
  <c r="L280" i="4" s="1"/>
  <c r="D284" i="1"/>
  <c r="D279" i="4" s="1"/>
  <c r="C284" i="1"/>
  <c r="C279" i="4" s="1"/>
  <c r="B284" i="1"/>
  <c r="B279" i="4" s="1"/>
  <c r="H284" i="1"/>
  <c r="H279" i="4" s="1"/>
  <c r="K284" i="1"/>
  <c r="K279" i="4" s="1"/>
  <c r="L284" i="1"/>
  <c r="L279" i="4" s="1"/>
  <c r="J298" i="1" l="1"/>
  <c r="J293" i="4" s="1"/>
  <c r="E292" i="4"/>
  <c r="A508" i="1"/>
  <c r="A502" i="4"/>
  <c r="G295" i="1"/>
  <c r="G290" i="4" s="1"/>
  <c r="E290" i="4"/>
  <c r="G299" i="1"/>
  <c r="G294" i="4" s="1"/>
  <c r="E294" i="4"/>
  <c r="G296" i="1"/>
  <c r="G291" i="4" s="1"/>
  <c r="E291" i="4"/>
  <c r="G294" i="1"/>
  <c r="G289" i="4" s="1"/>
  <c r="E289" i="4"/>
  <c r="I300" i="1"/>
  <c r="I295" i="4" s="1"/>
  <c r="I299" i="1"/>
  <c r="I294" i="4" s="1"/>
  <c r="J299" i="1"/>
  <c r="J294" i="4" s="1"/>
  <c r="E285" i="1"/>
  <c r="E280" i="4" s="1"/>
  <c r="I298" i="1"/>
  <c r="I293" i="4" s="1"/>
  <c r="I295" i="1"/>
  <c r="I290" i="4" s="1"/>
  <c r="J295" i="1"/>
  <c r="J290" i="4" s="1"/>
  <c r="E289" i="1"/>
  <c r="E287" i="1"/>
  <c r="G297" i="1"/>
  <c r="G292" i="4" s="1"/>
  <c r="E288" i="1"/>
  <c r="E283" i="4" s="1"/>
  <c r="E290" i="1"/>
  <c r="E285" i="4" s="1"/>
  <c r="E291" i="1"/>
  <c r="E292" i="1"/>
  <c r="E293" i="1"/>
  <c r="I296" i="1"/>
  <c r="I291" i="4" s="1"/>
  <c r="I297" i="1"/>
  <c r="I292" i="4" s="1"/>
  <c r="J297" i="1"/>
  <c r="J292" i="4" s="1"/>
  <c r="E284" i="1"/>
  <c r="E286" i="1"/>
  <c r="J296" i="1"/>
  <c r="J291" i="4" s="1"/>
  <c r="D283" i="1"/>
  <c r="D278" i="4" s="1"/>
  <c r="C283" i="1"/>
  <c r="C278" i="4" s="1"/>
  <c r="B283" i="1"/>
  <c r="B278" i="4" s="1"/>
  <c r="J286" i="1" l="1"/>
  <c r="J281" i="4" s="1"/>
  <c r="E281" i="4"/>
  <c r="G289" i="1"/>
  <c r="G284" i="4" s="1"/>
  <c r="E284" i="4"/>
  <c r="A509" i="1"/>
  <c r="A503" i="4"/>
  <c r="J292" i="1"/>
  <c r="J287" i="4" s="1"/>
  <c r="E287" i="4"/>
  <c r="G284" i="1"/>
  <c r="G279" i="4" s="1"/>
  <c r="E279" i="4"/>
  <c r="G293" i="1"/>
  <c r="G288" i="4" s="1"/>
  <c r="E288" i="4"/>
  <c r="G285" i="1"/>
  <c r="G280" i="4" s="1"/>
  <c r="G291" i="1"/>
  <c r="G286" i="4" s="1"/>
  <c r="E286" i="4"/>
  <c r="G287" i="1"/>
  <c r="G282" i="4" s="1"/>
  <c r="E282" i="4"/>
  <c r="J289" i="1"/>
  <c r="J284" i="4" s="1"/>
  <c r="I292" i="1"/>
  <c r="I287" i="4" s="1"/>
  <c r="G292" i="1"/>
  <c r="G287" i="4" s="1"/>
  <c r="I289" i="1"/>
  <c r="I284" i="4" s="1"/>
  <c r="J293" i="1"/>
  <c r="J288" i="4" s="1"/>
  <c r="I293" i="1"/>
  <c r="I288" i="4" s="1"/>
  <c r="I285" i="1"/>
  <c r="I280" i="4" s="1"/>
  <c r="I291" i="1"/>
  <c r="I286" i="4" s="1"/>
  <c r="J291" i="1"/>
  <c r="J286" i="4" s="1"/>
  <c r="I286" i="1"/>
  <c r="I281" i="4" s="1"/>
  <c r="I287" i="1"/>
  <c r="I282" i="4" s="1"/>
  <c r="I290" i="1"/>
  <c r="I285" i="4" s="1"/>
  <c r="G288" i="1"/>
  <c r="G283" i="4" s="1"/>
  <c r="G286" i="1"/>
  <c r="G281" i="4" s="1"/>
  <c r="J290" i="1"/>
  <c r="J285" i="4" s="1"/>
  <c r="G290" i="1"/>
  <c r="G285" i="4" s="1"/>
  <c r="J288" i="1"/>
  <c r="J283" i="4" s="1"/>
  <c r="J287" i="1"/>
  <c r="J282" i="4" s="1"/>
  <c r="I288" i="1"/>
  <c r="I283" i="4" s="1"/>
  <c r="J285" i="1"/>
  <c r="J280" i="4" s="1"/>
  <c r="J294" i="1"/>
  <c r="J289" i="4" s="1"/>
  <c r="I294" i="1"/>
  <c r="I289" i="4" s="1"/>
  <c r="E283" i="1"/>
  <c r="E278" i="4" s="1"/>
  <c r="H283" i="1"/>
  <c r="H278" i="4" s="1"/>
  <c r="K283" i="1"/>
  <c r="K278" i="4" s="1"/>
  <c r="L283" i="1"/>
  <c r="L278" i="4" s="1"/>
  <c r="D282" i="1"/>
  <c r="D277" i="4" s="1"/>
  <c r="C282" i="1"/>
  <c r="C277" i="4" s="1"/>
  <c r="B282" i="1"/>
  <c r="B277" i="4" s="1"/>
  <c r="H282" i="1"/>
  <c r="H277" i="4" s="1"/>
  <c r="K282" i="1"/>
  <c r="K277" i="4" s="1"/>
  <c r="L282" i="1"/>
  <c r="L277" i="4" s="1"/>
  <c r="A510" i="1" l="1"/>
  <c r="A504" i="4"/>
  <c r="E282" i="1"/>
  <c r="G283" i="1"/>
  <c r="G278" i="4" s="1"/>
  <c r="J284" i="1"/>
  <c r="J279" i="4" s="1"/>
  <c r="I284" i="1"/>
  <c r="I279" i="4" s="1"/>
  <c r="L281" i="1"/>
  <c r="L276" i="4" s="1"/>
  <c r="K281" i="1"/>
  <c r="K276" i="4" s="1"/>
  <c r="H281" i="1"/>
  <c r="H276" i="4" s="1"/>
  <c r="J283" i="1" l="1"/>
  <c r="J278" i="4" s="1"/>
  <c r="E277" i="4"/>
  <c r="A511" i="1"/>
  <c r="A505" i="4"/>
  <c r="I283" i="1"/>
  <c r="I278" i="4" s="1"/>
  <c r="G282" i="1"/>
  <c r="G277" i="4" s="1"/>
  <c r="E281" i="1"/>
  <c r="E276" i="4" s="1"/>
  <c r="D280" i="1"/>
  <c r="D275" i="4" s="1"/>
  <c r="C280" i="1"/>
  <c r="C275" i="4" s="1"/>
  <c r="B280" i="1"/>
  <c r="B275" i="4" s="1"/>
  <c r="H280" i="1"/>
  <c r="H275" i="4" s="1"/>
  <c r="K280" i="1"/>
  <c r="K275" i="4" s="1"/>
  <c r="L280" i="1"/>
  <c r="L275" i="4" s="1"/>
  <c r="D279" i="1"/>
  <c r="D274" i="4" s="1"/>
  <c r="C279" i="1"/>
  <c r="C274" i="4" s="1"/>
  <c r="B279" i="1"/>
  <c r="B274" i="4" s="1"/>
  <c r="H279" i="1"/>
  <c r="H274" i="4" s="1"/>
  <c r="K279" i="1"/>
  <c r="K274" i="4" s="1"/>
  <c r="L279" i="1"/>
  <c r="L274" i="4" s="1"/>
  <c r="D278" i="1"/>
  <c r="D273" i="4" s="1"/>
  <c r="C278" i="1"/>
  <c r="C273" i="4" s="1"/>
  <c r="B278" i="1"/>
  <c r="B273" i="4" s="1"/>
  <c r="H278" i="1"/>
  <c r="H273" i="4" s="1"/>
  <c r="K278" i="1"/>
  <c r="K273" i="4" s="1"/>
  <c r="L278" i="1"/>
  <c r="L273" i="4" s="1"/>
  <c r="A512" i="1" l="1"/>
  <c r="A506" i="4"/>
  <c r="E279" i="1"/>
  <c r="E280" i="1"/>
  <c r="J281" i="1" s="1"/>
  <c r="J276" i="4" s="1"/>
  <c r="I282" i="1"/>
  <c r="I277" i="4" s="1"/>
  <c r="G281" i="1"/>
  <c r="G276" i="4" s="1"/>
  <c r="J282" i="1"/>
  <c r="J277" i="4" s="1"/>
  <c r="E278" i="1"/>
  <c r="E273" i="4" s="1"/>
  <c r="D277" i="1"/>
  <c r="D272" i="4" s="1"/>
  <c r="C277" i="1"/>
  <c r="C272" i="4" s="1"/>
  <c r="B277" i="1"/>
  <c r="B272" i="4" s="1"/>
  <c r="H277" i="1"/>
  <c r="H272" i="4" s="1"/>
  <c r="K277" i="1"/>
  <c r="K272" i="4" s="1"/>
  <c r="L277" i="1"/>
  <c r="L272" i="4" s="1"/>
  <c r="D276" i="1"/>
  <c r="D271" i="4" s="1"/>
  <c r="C276" i="1"/>
  <c r="C271" i="4" s="1"/>
  <c r="B276" i="1"/>
  <c r="B271" i="4" s="1"/>
  <c r="H276" i="1"/>
  <c r="H271" i="4" s="1"/>
  <c r="K276" i="1"/>
  <c r="K271" i="4" s="1"/>
  <c r="L276" i="1"/>
  <c r="L271" i="4" s="1"/>
  <c r="H275" i="1"/>
  <c r="H270" i="4" s="1"/>
  <c r="K275" i="1"/>
  <c r="K270" i="4" s="1"/>
  <c r="L275" i="1"/>
  <c r="L270" i="4" s="1"/>
  <c r="D275" i="1"/>
  <c r="D270" i="4" s="1"/>
  <c r="C275" i="1"/>
  <c r="C270" i="4" s="1"/>
  <c r="B275" i="1"/>
  <c r="B270" i="4" s="1"/>
  <c r="D274" i="1"/>
  <c r="D269" i="4" s="1"/>
  <c r="C274" i="1"/>
  <c r="C269" i="4" s="1"/>
  <c r="B274" i="1"/>
  <c r="B269" i="4" s="1"/>
  <c r="H274" i="1"/>
  <c r="H269" i="4" s="1"/>
  <c r="K274" i="1"/>
  <c r="K269" i="4" s="1"/>
  <c r="L274" i="1"/>
  <c r="L269" i="4" s="1"/>
  <c r="D273" i="1"/>
  <c r="D268" i="4" s="1"/>
  <c r="C273" i="1"/>
  <c r="C268" i="4" s="1"/>
  <c r="B273" i="1"/>
  <c r="B268" i="4" s="1"/>
  <c r="H273" i="1"/>
  <c r="H268" i="4" s="1"/>
  <c r="K273" i="1"/>
  <c r="K268" i="4" s="1"/>
  <c r="L273" i="1"/>
  <c r="L268" i="4" s="1"/>
  <c r="D272" i="1"/>
  <c r="D267" i="4" s="1"/>
  <c r="C272" i="1"/>
  <c r="C267" i="4" s="1"/>
  <c r="B272" i="1"/>
  <c r="B267" i="4" s="1"/>
  <c r="H272" i="1"/>
  <c r="H267" i="4" s="1"/>
  <c r="K272" i="1"/>
  <c r="K267" i="4" s="1"/>
  <c r="L272" i="1"/>
  <c r="L267" i="4" s="1"/>
  <c r="D271" i="1"/>
  <c r="D266" i="4" s="1"/>
  <c r="C271" i="1"/>
  <c r="C266" i="4" s="1"/>
  <c r="B271" i="1"/>
  <c r="B266" i="4" s="1"/>
  <c r="H271" i="1"/>
  <c r="H266" i="4" s="1"/>
  <c r="K271" i="1"/>
  <c r="K266" i="4" s="1"/>
  <c r="L271" i="1"/>
  <c r="L266" i="4" s="1"/>
  <c r="H270" i="1"/>
  <c r="H265" i="4" s="1"/>
  <c r="K270" i="1"/>
  <c r="K265" i="4" s="1"/>
  <c r="L270" i="1"/>
  <c r="L265" i="4" s="1"/>
  <c r="D270" i="1"/>
  <c r="D265" i="4" s="1"/>
  <c r="C270" i="1"/>
  <c r="C265" i="4" s="1"/>
  <c r="B270" i="1"/>
  <c r="B265" i="4" s="1"/>
  <c r="D269" i="1"/>
  <c r="D264" i="4" s="1"/>
  <c r="C269" i="1"/>
  <c r="C264" i="4" s="1"/>
  <c r="B269" i="1"/>
  <c r="B264" i="4" s="1"/>
  <c r="H269" i="1"/>
  <c r="H264" i="4" s="1"/>
  <c r="K269" i="1"/>
  <c r="K264" i="4" s="1"/>
  <c r="L269" i="1"/>
  <c r="L264" i="4" s="1"/>
  <c r="D268" i="1"/>
  <c r="D263" i="4" s="1"/>
  <c r="C268" i="1"/>
  <c r="C263" i="4" s="1"/>
  <c r="B268" i="1"/>
  <c r="B263" i="4" s="1"/>
  <c r="H268" i="1"/>
  <c r="H263" i="4" s="1"/>
  <c r="K268" i="1"/>
  <c r="K263" i="4" s="1"/>
  <c r="L268" i="1"/>
  <c r="L263" i="4" s="1"/>
  <c r="H267" i="1"/>
  <c r="H262" i="4" s="1"/>
  <c r="K267" i="1"/>
  <c r="K262" i="4" s="1"/>
  <c r="L267" i="1"/>
  <c r="L262" i="4" s="1"/>
  <c r="D267" i="1"/>
  <c r="D262" i="4" s="1"/>
  <c r="C267" i="1"/>
  <c r="C262" i="4" s="1"/>
  <c r="B267" i="1"/>
  <c r="B262" i="4" s="1"/>
  <c r="D266" i="1"/>
  <c r="D261" i="4" s="1"/>
  <c r="C266" i="1"/>
  <c r="C261" i="4" s="1"/>
  <c r="B266" i="1"/>
  <c r="B261" i="4" s="1"/>
  <c r="H266" i="1"/>
  <c r="H261" i="4" s="1"/>
  <c r="K266" i="1"/>
  <c r="K261" i="4" s="1"/>
  <c r="L266" i="1"/>
  <c r="L261" i="4" s="1"/>
  <c r="H265" i="1"/>
  <c r="H260" i="4" s="1"/>
  <c r="K265" i="1"/>
  <c r="K260" i="4" s="1"/>
  <c r="L265" i="1"/>
  <c r="L260" i="4" s="1"/>
  <c r="D265" i="1"/>
  <c r="D260" i="4" s="1"/>
  <c r="C265" i="1"/>
  <c r="C260" i="4" s="1"/>
  <c r="B265" i="1"/>
  <c r="B260" i="4" s="1"/>
  <c r="D264" i="1"/>
  <c r="D259" i="4" s="1"/>
  <c r="C264" i="1"/>
  <c r="C259" i="4" s="1"/>
  <c r="B264" i="1"/>
  <c r="B259" i="4" s="1"/>
  <c r="H264" i="1"/>
  <c r="H259" i="4" s="1"/>
  <c r="K264" i="1"/>
  <c r="K259" i="4" s="1"/>
  <c r="L264" i="1"/>
  <c r="L259" i="4" s="1"/>
  <c r="D263" i="1"/>
  <c r="D258" i="4" s="1"/>
  <c r="C263" i="1"/>
  <c r="C258" i="4" s="1"/>
  <c r="B263" i="1"/>
  <c r="B258" i="4" s="1"/>
  <c r="H263" i="1"/>
  <c r="H258" i="4" s="1"/>
  <c r="K263" i="1"/>
  <c r="K258" i="4" s="1"/>
  <c r="L263" i="1"/>
  <c r="L258" i="4" s="1"/>
  <c r="H262" i="1"/>
  <c r="H257" i="4" s="1"/>
  <c r="K262" i="1"/>
  <c r="K257" i="4" s="1"/>
  <c r="L262" i="1"/>
  <c r="L257" i="4" s="1"/>
  <c r="E262" i="1"/>
  <c r="E257" i="4" s="1"/>
  <c r="H261" i="1"/>
  <c r="H256" i="4" s="1"/>
  <c r="K261" i="1"/>
  <c r="K256" i="4" s="1"/>
  <c r="L261" i="1"/>
  <c r="L256" i="4" s="1"/>
  <c r="D261" i="1"/>
  <c r="D256" i="4" s="1"/>
  <c r="C261" i="1"/>
  <c r="C256" i="4" s="1"/>
  <c r="B261" i="1"/>
  <c r="B256" i="4" s="1"/>
  <c r="A8" i="1"/>
  <c r="D260" i="1"/>
  <c r="D255" i="4" s="1"/>
  <c r="C260" i="1"/>
  <c r="C255" i="4" s="1"/>
  <c r="B260" i="1"/>
  <c r="B255" i="4" s="1"/>
  <c r="H260" i="1"/>
  <c r="H255" i="4" s="1"/>
  <c r="K260" i="1"/>
  <c r="K255" i="4" s="1"/>
  <c r="L260" i="1"/>
  <c r="L255" i="4" s="1"/>
  <c r="D259" i="1"/>
  <c r="D254" i="4" s="1"/>
  <c r="C259" i="1"/>
  <c r="C254" i="4" s="1"/>
  <c r="B259" i="1"/>
  <c r="B254" i="4" s="1"/>
  <c r="H259" i="1"/>
  <c r="H254" i="4" s="1"/>
  <c r="K259" i="1"/>
  <c r="K254" i="4" s="1"/>
  <c r="L259" i="1"/>
  <c r="L254" i="4" s="1"/>
  <c r="D258" i="1"/>
  <c r="D253" i="4" s="1"/>
  <c r="C258" i="1"/>
  <c r="C253" i="4" s="1"/>
  <c r="B258" i="1"/>
  <c r="B253" i="4" s="1"/>
  <c r="H258" i="1"/>
  <c r="H253" i="4" s="1"/>
  <c r="K258" i="1"/>
  <c r="K253" i="4" s="1"/>
  <c r="L258" i="1"/>
  <c r="L253" i="4" s="1"/>
  <c r="H257" i="1"/>
  <c r="H252" i="4" s="1"/>
  <c r="K257" i="1"/>
  <c r="K252" i="4" s="1"/>
  <c r="L257" i="1"/>
  <c r="L252" i="4" s="1"/>
  <c r="D257" i="1"/>
  <c r="D252" i="4" s="1"/>
  <c r="C257" i="1"/>
  <c r="C252" i="4" s="1"/>
  <c r="B257" i="1"/>
  <c r="B252" i="4" s="1"/>
  <c r="B256" i="1"/>
  <c r="B251" i="4" s="1"/>
  <c r="D256" i="1"/>
  <c r="D251" i="4" s="1"/>
  <c r="C256" i="1"/>
  <c r="C251" i="4" s="1"/>
  <c r="H256" i="1"/>
  <c r="H251" i="4" s="1"/>
  <c r="K256" i="1"/>
  <c r="K251" i="4" s="1"/>
  <c r="L256" i="1"/>
  <c r="L251" i="4" s="1"/>
  <c r="H255" i="1"/>
  <c r="H250" i="4" s="1"/>
  <c r="K255" i="1"/>
  <c r="K250" i="4" s="1"/>
  <c r="L255" i="1"/>
  <c r="L250" i="4" s="1"/>
  <c r="D255" i="1"/>
  <c r="D250" i="4" s="1"/>
  <c r="C255" i="1"/>
  <c r="C250" i="4" s="1"/>
  <c r="B255" i="1"/>
  <c r="B250" i="4" s="1"/>
  <c r="H254" i="1"/>
  <c r="H249" i="4" s="1"/>
  <c r="K254" i="1"/>
  <c r="K249" i="4" s="1"/>
  <c r="L254" i="1"/>
  <c r="L249" i="4" s="1"/>
  <c r="D254" i="1"/>
  <c r="D249" i="4" s="1"/>
  <c r="C254" i="1"/>
  <c r="C249" i="4" s="1"/>
  <c r="B254" i="1"/>
  <c r="B249" i="4" s="1"/>
  <c r="H253" i="1"/>
  <c r="H248" i="4" s="1"/>
  <c r="K253" i="1"/>
  <c r="K248" i="4" s="1"/>
  <c r="L253" i="1"/>
  <c r="L248" i="4" s="1"/>
  <c r="D253" i="1"/>
  <c r="D248" i="4" s="1"/>
  <c r="C253" i="1"/>
  <c r="C248" i="4" s="1"/>
  <c r="B253" i="1"/>
  <c r="B248" i="4" s="1"/>
  <c r="D252" i="1"/>
  <c r="D247" i="4" s="1"/>
  <c r="C252" i="1"/>
  <c r="C247" i="4" s="1"/>
  <c r="B252" i="1"/>
  <c r="B247" i="4" s="1"/>
  <c r="H252" i="1"/>
  <c r="H247" i="4" s="1"/>
  <c r="K252" i="1"/>
  <c r="K247" i="4" s="1"/>
  <c r="L252" i="1"/>
  <c r="L247" i="4" s="1"/>
  <c r="D251" i="1"/>
  <c r="D246" i="4" s="1"/>
  <c r="C251" i="1"/>
  <c r="C246" i="4" s="1"/>
  <c r="B251" i="1"/>
  <c r="B246" i="4" s="1"/>
  <c r="H251" i="1"/>
  <c r="H246" i="4" s="1"/>
  <c r="K251" i="1"/>
  <c r="K246" i="4" s="1"/>
  <c r="L251" i="1"/>
  <c r="L246" i="4" s="1"/>
  <c r="H250" i="1"/>
  <c r="H245" i="4" s="1"/>
  <c r="K250" i="1"/>
  <c r="K245" i="4" s="1"/>
  <c r="L250" i="1"/>
  <c r="L245" i="4" s="1"/>
  <c r="D250" i="1"/>
  <c r="D245" i="4" s="1"/>
  <c r="C250" i="1"/>
  <c r="C245" i="4" s="1"/>
  <c r="B250" i="1"/>
  <c r="B245" i="4" s="1"/>
  <c r="D249" i="1"/>
  <c r="D244" i="4" s="1"/>
  <c r="C249" i="1"/>
  <c r="C244" i="4" s="1"/>
  <c r="B249" i="1"/>
  <c r="B244" i="4" s="1"/>
  <c r="H249" i="1"/>
  <c r="H244" i="4" s="1"/>
  <c r="K249" i="1"/>
  <c r="K244" i="4" s="1"/>
  <c r="L249" i="1"/>
  <c r="L244" i="4" s="1"/>
  <c r="G278" i="1" l="1"/>
  <c r="G273" i="4" s="1"/>
  <c r="J280" i="1"/>
  <c r="J275" i="4" s="1"/>
  <c r="E275" i="4"/>
  <c r="A9" i="1"/>
  <c r="A3" i="4"/>
  <c r="G279" i="1"/>
  <c r="G274" i="4" s="1"/>
  <c r="E274" i="4"/>
  <c r="A513" i="1"/>
  <c r="A507" i="4"/>
  <c r="J279" i="1"/>
  <c r="J274" i="4" s="1"/>
  <c r="E253" i="1"/>
  <c r="E257" i="1"/>
  <c r="E256" i="1"/>
  <c r="G256" i="1" s="1"/>
  <c r="G251" i="4" s="1"/>
  <c r="E260" i="1"/>
  <c r="G280" i="1"/>
  <c r="G275" i="4" s="1"/>
  <c r="E277" i="1"/>
  <c r="I280" i="1"/>
  <c r="I275" i="4" s="1"/>
  <c r="I281" i="1"/>
  <c r="I276" i="4" s="1"/>
  <c r="E268" i="1"/>
  <c r="E271" i="1"/>
  <c r="E255" i="1"/>
  <c r="E249" i="1"/>
  <c r="E250" i="1"/>
  <c r="E245" i="4" s="1"/>
  <c r="E252" i="1"/>
  <c r="E258" i="1"/>
  <c r="E259" i="1"/>
  <c r="E261" i="1"/>
  <c r="E256" i="4" s="1"/>
  <c r="E265" i="1"/>
  <c r="E266" i="1"/>
  <c r="E276" i="1"/>
  <c r="I279" i="1"/>
  <c r="I274" i="4" s="1"/>
  <c r="E264" i="1"/>
  <c r="E273" i="1"/>
  <c r="E270" i="1"/>
  <c r="E272" i="1"/>
  <c r="E275" i="1"/>
  <c r="E270" i="4" s="1"/>
  <c r="E251" i="1"/>
  <c r="E254" i="1"/>
  <c r="G254" i="1" s="1"/>
  <c r="G249" i="4" s="1"/>
  <c r="E263" i="1"/>
  <c r="E258" i="4" s="1"/>
  <c r="E269" i="1"/>
  <c r="E264" i="4" s="1"/>
  <c r="E274" i="1"/>
  <c r="E267" i="1"/>
  <c r="G262" i="1"/>
  <c r="G257" i="4" s="1"/>
  <c r="J253" i="1" l="1"/>
  <c r="J248" i="4" s="1"/>
  <c r="J274" i="1"/>
  <c r="J269" i="4" s="1"/>
  <c r="E269" i="4"/>
  <c r="G273" i="1"/>
  <c r="G268" i="4" s="1"/>
  <c r="E268" i="4"/>
  <c r="G258" i="1"/>
  <c r="G253" i="4" s="1"/>
  <c r="E253" i="4"/>
  <c r="G255" i="1"/>
  <c r="G250" i="4" s="1"/>
  <c r="E250" i="4"/>
  <c r="G265" i="1"/>
  <c r="G260" i="4" s="1"/>
  <c r="E260" i="4"/>
  <c r="G271" i="1"/>
  <c r="G266" i="4" s="1"/>
  <c r="E266" i="4"/>
  <c r="J278" i="1"/>
  <c r="J273" i="4" s="1"/>
  <c r="E272" i="4"/>
  <c r="G257" i="1"/>
  <c r="G252" i="4" s="1"/>
  <c r="E252" i="4"/>
  <c r="A10" i="1"/>
  <c r="A5" i="4" s="1"/>
  <c r="A4" i="4"/>
  <c r="I272" i="1"/>
  <c r="I267" i="4" s="1"/>
  <c r="G272" i="1"/>
  <c r="G267" i="4" s="1"/>
  <c r="E267" i="4"/>
  <c r="G268" i="1"/>
  <c r="G263" i="4" s="1"/>
  <c r="E263" i="4"/>
  <c r="G253" i="1"/>
  <c r="G248" i="4" s="1"/>
  <c r="E248" i="4"/>
  <c r="G251" i="1"/>
  <c r="G246" i="4" s="1"/>
  <c r="E246" i="4"/>
  <c r="G266" i="1"/>
  <c r="G261" i="4" s="1"/>
  <c r="E261" i="4"/>
  <c r="J257" i="1"/>
  <c r="J252" i="4" s="1"/>
  <c r="E251" i="4"/>
  <c r="G264" i="1"/>
  <c r="G259" i="4" s="1"/>
  <c r="E259" i="4"/>
  <c r="I253" i="1"/>
  <c r="I248" i="4" s="1"/>
  <c r="E247" i="4"/>
  <c r="A514" i="1"/>
  <c r="A508" i="4"/>
  <c r="G275" i="1"/>
  <c r="G270" i="4" s="1"/>
  <c r="G267" i="1"/>
  <c r="G262" i="4" s="1"/>
  <c r="E262" i="4"/>
  <c r="I254" i="1"/>
  <c r="I249" i="4" s="1"/>
  <c r="E249" i="4"/>
  <c r="G270" i="1"/>
  <c r="G265" i="4" s="1"/>
  <c r="E265" i="4"/>
  <c r="G276" i="1"/>
  <c r="G271" i="4" s="1"/>
  <c r="E271" i="4"/>
  <c r="G259" i="1"/>
  <c r="G254" i="4" s="1"/>
  <c r="E254" i="4"/>
  <c r="G249" i="1"/>
  <c r="G244" i="4" s="1"/>
  <c r="E244" i="4"/>
  <c r="G260" i="1"/>
  <c r="G255" i="4" s="1"/>
  <c r="E255" i="4"/>
  <c r="J272" i="1"/>
  <c r="J267" i="4" s="1"/>
  <c r="I264" i="1"/>
  <c r="I259" i="4" s="1"/>
  <c r="I257" i="1"/>
  <c r="I252" i="4" s="1"/>
  <c r="I266" i="1"/>
  <c r="I261" i="4" s="1"/>
  <c r="J266" i="1"/>
  <c r="J261" i="4" s="1"/>
  <c r="I252" i="1"/>
  <c r="I247" i="4" s="1"/>
  <c r="I256" i="1"/>
  <c r="I251" i="4" s="1"/>
  <c r="I250" i="1"/>
  <c r="I245" i="4" s="1"/>
  <c r="I258" i="1"/>
  <c r="I253" i="4" s="1"/>
  <c r="J276" i="1"/>
  <c r="J271" i="4" s="1"/>
  <c r="J254" i="1"/>
  <c r="J249" i="4" s="1"/>
  <c r="J261" i="1"/>
  <c r="J256" i="4" s="1"/>
  <c r="J277" i="1"/>
  <c r="J272" i="4" s="1"/>
  <c r="G252" i="1"/>
  <c r="G247" i="4" s="1"/>
  <c r="J269" i="1"/>
  <c r="J264" i="4" s="1"/>
  <c r="I278" i="1"/>
  <c r="I273" i="4" s="1"/>
  <c r="J265" i="1"/>
  <c r="J260" i="4" s="1"/>
  <c r="I265" i="1"/>
  <c r="I260" i="4" s="1"/>
  <c r="I261" i="1"/>
  <c r="I256" i="4" s="1"/>
  <c r="J271" i="1"/>
  <c r="J266" i="4" s="1"/>
  <c r="J262" i="1"/>
  <c r="J257" i="4" s="1"/>
  <c r="I259" i="1"/>
  <c r="I254" i="4" s="1"/>
  <c r="G274" i="1"/>
  <c r="G269" i="4" s="1"/>
  <c r="I273" i="1"/>
  <c r="I268" i="4" s="1"/>
  <c r="I269" i="1"/>
  <c r="I264" i="4" s="1"/>
  <c r="I260" i="1"/>
  <c r="I255" i="4" s="1"/>
  <c r="G269" i="1"/>
  <c r="G264" i="4" s="1"/>
  <c r="I277" i="1"/>
  <c r="I272" i="4" s="1"/>
  <c r="J260" i="1"/>
  <c r="J255" i="4" s="1"/>
  <c r="G277" i="1"/>
  <c r="G272" i="4" s="1"/>
  <c r="J263" i="1"/>
  <c r="J258" i="4" s="1"/>
  <c r="I255" i="1"/>
  <c r="I250" i="4" s="1"/>
  <c r="J267" i="1"/>
  <c r="J262" i="4" s="1"/>
  <c r="I276" i="1"/>
  <c r="I271" i="4" s="1"/>
  <c r="J251" i="1"/>
  <c r="J246" i="4" s="1"/>
  <c r="J256" i="1"/>
  <c r="J251" i="4" s="1"/>
  <c r="I262" i="1"/>
  <c r="I257" i="4" s="1"/>
  <c r="J259" i="1"/>
  <c r="J254" i="4" s="1"/>
  <c r="G250" i="1"/>
  <c r="G245" i="4" s="1"/>
  <c r="J250" i="1"/>
  <c r="J245" i="4" s="1"/>
  <c r="J273" i="1"/>
  <c r="J268" i="4" s="1"/>
  <c r="G261" i="1"/>
  <c r="G256" i="4" s="1"/>
  <c r="I274" i="1"/>
  <c r="I269" i="4" s="1"/>
  <c r="I263" i="1"/>
  <c r="I258" i="4" s="1"/>
  <c r="J258" i="1"/>
  <c r="J253" i="4" s="1"/>
  <c r="J264" i="1"/>
  <c r="J259" i="4" s="1"/>
  <c r="J255" i="1"/>
  <c r="J250" i="4" s="1"/>
  <c r="J252" i="1"/>
  <c r="J247" i="4" s="1"/>
  <c r="I251" i="1"/>
  <c r="I246" i="4" s="1"/>
  <c r="I271" i="1"/>
  <c r="I266" i="4" s="1"/>
  <c r="I268" i="1"/>
  <c r="I263" i="4" s="1"/>
  <c r="I275" i="1"/>
  <c r="I270" i="4" s="1"/>
  <c r="J270" i="1"/>
  <c r="J265" i="4" s="1"/>
  <c r="J268" i="1"/>
  <c r="J263" i="4" s="1"/>
  <c r="I270" i="1"/>
  <c r="I265" i="4" s="1"/>
  <c r="G263" i="1"/>
  <c r="G258" i="4" s="1"/>
  <c r="J275" i="1"/>
  <c r="J270" i="4" s="1"/>
  <c r="I267" i="1"/>
  <c r="I262" i="4" s="1"/>
  <c r="L248" i="1"/>
  <c r="L243" i="4" s="1"/>
  <c r="K248" i="1"/>
  <c r="K243" i="4" s="1"/>
  <c r="H248" i="1"/>
  <c r="H243" i="4" s="1"/>
  <c r="D248" i="1"/>
  <c r="D243" i="4" s="1"/>
  <c r="C248" i="1"/>
  <c r="C243" i="4" s="1"/>
  <c r="B248" i="1"/>
  <c r="B243" i="4" s="1"/>
  <c r="D247" i="1"/>
  <c r="D242" i="4" s="1"/>
  <c r="C247" i="1"/>
  <c r="C242" i="4" s="1"/>
  <c r="B247" i="1"/>
  <c r="B242" i="4" s="1"/>
  <c r="H247" i="1"/>
  <c r="H242" i="4" s="1"/>
  <c r="K247" i="1"/>
  <c r="K242" i="4" s="1"/>
  <c r="L247" i="1"/>
  <c r="L242" i="4" s="1"/>
  <c r="D246" i="1"/>
  <c r="D241" i="4" s="1"/>
  <c r="C246" i="1"/>
  <c r="C241" i="4" s="1"/>
  <c r="B246" i="1"/>
  <c r="B241" i="4" s="1"/>
  <c r="H246" i="1"/>
  <c r="H241" i="4" s="1"/>
  <c r="K246" i="1"/>
  <c r="K241" i="4" s="1"/>
  <c r="L246" i="1"/>
  <c r="L241" i="4" s="1"/>
  <c r="D245" i="1"/>
  <c r="D240" i="4" s="1"/>
  <c r="C245" i="1"/>
  <c r="C240" i="4" s="1"/>
  <c r="B245" i="1"/>
  <c r="B240" i="4" s="1"/>
  <c r="H245" i="1"/>
  <c r="H240" i="4" s="1"/>
  <c r="K245" i="1"/>
  <c r="K240" i="4" s="1"/>
  <c r="H244" i="1"/>
  <c r="H239" i="4" s="1"/>
  <c r="K244" i="1"/>
  <c r="K239" i="4" s="1"/>
  <c r="L244" i="1"/>
  <c r="L239" i="4" s="1"/>
  <c r="D244" i="1"/>
  <c r="D239" i="4" s="1"/>
  <c r="C244" i="1"/>
  <c r="C239" i="4" s="1"/>
  <c r="B244" i="1"/>
  <c r="B239" i="4" s="1"/>
  <c r="L228" i="1"/>
  <c r="L223" i="4" s="1"/>
  <c r="L229" i="1"/>
  <c r="L224" i="4" s="1"/>
  <c r="L230" i="1"/>
  <c r="L225" i="4" s="1"/>
  <c r="L231" i="1"/>
  <c r="L226" i="4" s="1"/>
  <c r="L232" i="1"/>
  <c r="L227" i="4" s="1"/>
  <c r="L233" i="1"/>
  <c r="L228" i="4" s="1"/>
  <c r="L234" i="1"/>
  <c r="L229" i="4" s="1"/>
  <c r="L235" i="1"/>
  <c r="L230" i="4" s="1"/>
  <c r="L236" i="1"/>
  <c r="L231" i="4" s="1"/>
  <c r="L237" i="1"/>
  <c r="L232" i="4" s="1"/>
  <c r="L238" i="1"/>
  <c r="L233" i="4" s="1"/>
  <c r="L239" i="1"/>
  <c r="L234" i="4" s="1"/>
  <c r="L240" i="1"/>
  <c r="L235" i="4" s="1"/>
  <c r="L241" i="1"/>
  <c r="L236" i="4" s="1"/>
  <c r="L242" i="1"/>
  <c r="L237" i="4" s="1"/>
  <c r="L243" i="1"/>
  <c r="L238" i="4" s="1"/>
  <c r="L227" i="1"/>
  <c r="L222" i="4" s="1"/>
  <c r="L176" i="1"/>
  <c r="L171" i="4" s="1"/>
  <c r="L177" i="1"/>
  <c r="L172" i="4" s="1"/>
  <c r="L178" i="1"/>
  <c r="L173" i="4" s="1"/>
  <c r="L179" i="1"/>
  <c r="L174" i="4" s="1"/>
  <c r="L180" i="1"/>
  <c r="L175" i="4" s="1"/>
  <c r="L181" i="1"/>
  <c r="L176" i="4" s="1"/>
  <c r="L182" i="1"/>
  <c r="L177" i="4" s="1"/>
  <c r="L183" i="1"/>
  <c r="L178" i="4" s="1"/>
  <c r="L184" i="1"/>
  <c r="L179" i="4" s="1"/>
  <c r="L185" i="1"/>
  <c r="L180" i="4" s="1"/>
  <c r="L186" i="1"/>
  <c r="L181" i="4" s="1"/>
  <c r="L187" i="1"/>
  <c r="L182" i="4" s="1"/>
  <c r="L188" i="1"/>
  <c r="L183" i="4" s="1"/>
  <c r="L189" i="1"/>
  <c r="L184" i="4" s="1"/>
  <c r="L190" i="1"/>
  <c r="L185" i="4" s="1"/>
  <c r="L191" i="1"/>
  <c r="L186" i="4" s="1"/>
  <c r="L192" i="1"/>
  <c r="L187" i="4" s="1"/>
  <c r="L194" i="1"/>
  <c r="L189" i="4" s="1"/>
  <c r="L195" i="1"/>
  <c r="L190" i="4" s="1"/>
  <c r="L196" i="1"/>
  <c r="L191" i="4" s="1"/>
  <c r="L197" i="1"/>
  <c r="L192" i="4" s="1"/>
  <c r="L198" i="1"/>
  <c r="L193" i="4" s="1"/>
  <c r="L199" i="1"/>
  <c r="L194" i="4" s="1"/>
  <c r="L200" i="1"/>
  <c r="L195" i="4" s="1"/>
  <c r="L201" i="1"/>
  <c r="L196" i="4" s="1"/>
  <c r="L202" i="1"/>
  <c r="L197" i="4" s="1"/>
  <c r="L203" i="1"/>
  <c r="L198" i="4" s="1"/>
  <c r="L204" i="1"/>
  <c r="L199" i="4" s="1"/>
  <c r="L205" i="1"/>
  <c r="L200" i="4" s="1"/>
  <c r="L206" i="1"/>
  <c r="L201" i="4" s="1"/>
  <c r="L207" i="1"/>
  <c r="L202" i="4" s="1"/>
  <c r="L208" i="1"/>
  <c r="L203" i="4" s="1"/>
  <c r="L209" i="1"/>
  <c r="L204" i="4" s="1"/>
  <c r="L210" i="1"/>
  <c r="L205" i="4" s="1"/>
  <c r="L211" i="1"/>
  <c r="L206" i="4" s="1"/>
  <c r="L212" i="1"/>
  <c r="L207" i="4" s="1"/>
  <c r="L213" i="1"/>
  <c r="L208" i="4" s="1"/>
  <c r="L214" i="1"/>
  <c r="L209" i="4" s="1"/>
  <c r="L215" i="1"/>
  <c r="L210" i="4" s="1"/>
  <c r="L216" i="1"/>
  <c r="L211" i="4" s="1"/>
  <c r="L217" i="1"/>
  <c r="L212" i="4" s="1"/>
  <c r="L218" i="1"/>
  <c r="L213" i="4" s="1"/>
  <c r="L219" i="1"/>
  <c r="L214" i="4" s="1"/>
  <c r="L220" i="1"/>
  <c r="L215" i="4" s="1"/>
  <c r="L221" i="1"/>
  <c r="L216" i="4" s="1"/>
  <c r="L222" i="1"/>
  <c r="L217" i="4" s="1"/>
  <c r="L223" i="1"/>
  <c r="L218" i="4" s="1"/>
  <c r="L224" i="1"/>
  <c r="L219" i="4" s="1"/>
  <c r="L225" i="1"/>
  <c r="L220" i="4" s="1"/>
  <c r="L226" i="1"/>
  <c r="L221" i="4" s="1"/>
  <c r="L175" i="1"/>
  <c r="L170" i="4" s="1"/>
  <c r="A515" i="1" l="1"/>
  <c r="A509" i="4"/>
  <c r="E247" i="1"/>
  <c r="E248" i="1"/>
  <c r="E244" i="1"/>
  <c r="E245" i="1"/>
  <c r="E246" i="1"/>
  <c r="D243" i="1"/>
  <c r="D238" i="4" s="1"/>
  <c r="C243" i="1"/>
  <c r="C238" i="4" s="1"/>
  <c r="B243" i="1"/>
  <c r="B238" i="4" s="1"/>
  <c r="H243" i="1"/>
  <c r="H238" i="4" s="1"/>
  <c r="K243" i="1"/>
  <c r="K238" i="4" s="1"/>
  <c r="D242" i="1"/>
  <c r="D237" i="4" s="1"/>
  <c r="C242" i="1"/>
  <c r="C237" i="4" s="1"/>
  <c r="B242" i="1"/>
  <c r="B237" i="4" s="1"/>
  <c r="H242" i="1"/>
  <c r="H237" i="4" s="1"/>
  <c r="K242" i="1"/>
  <c r="K237" i="4" s="1"/>
  <c r="D241" i="1"/>
  <c r="D236" i="4" s="1"/>
  <c r="C241" i="1"/>
  <c r="C236" i="4" s="1"/>
  <c r="B241" i="1"/>
  <c r="B236" i="4" s="1"/>
  <c r="H241" i="1"/>
  <c r="H236" i="4" s="1"/>
  <c r="K241" i="1"/>
  <c r="K236" i="4" s="1"/>
  <c r="D240" i="1"/>
  <c r="D235" i="4" s="1"/>
  <c r="C240" i="1"/>
  <c r="C235" i="4" s="1"/>
  <c r="B240" i="1"/>
  <c r="B235" i="4" s="1"/>
  <c r="H240" i="1"/>
  <c r="H235" i="4" s="1"/>
  <c r="K240" i="1"/>
  <c r="K235" i="4" s="1"/>
  <c r="D239" i="1"/>
  <c r="D234" i="4" s="1"/>
  <c r="C239" i="1"/>
  <c r="C234" i="4" s="1"/>
  <c r="B239" i="1"/>
  <c r="B234" i="4" s="1"/>
  <c r="H239" i="1"/>
  <c r="H234" i="4" s="1"/>
  <c r="K239" i="1"/>
  <c r="K234" i="4" s="1"/>
  <c r="D238" i="1"/>
  <c r="D233" i="4" s="1"/>
  <c r="C238" i="1"/>
  <c r="C233" i="4" s="1"/>
  <c r="B238" i="1"/>
  <c r="B233" i="4" s="1"/>
  <c r="H238" i="1"/>
  <c r="H233" i="4" s="1"/>
  <c r="K238" i="1"/>
  <c r="K233" i="4" s="1"/>
  <c r="D237" i="1"/>
  <c r="D232" i="4" s="1"/>
  <c r="C237" i="1"/>
  <c r="C232" i="4" s="1"/>
  <c r="B237" i="1"/>
  <c r="B232" i="4" s="1"/>
  <c r="H237" i="1"/>
  <c r="H232" i="4" s="1"/>
  <c r="K237" i="1"/>
  <c r="K232" i="4" s="1"/>
  <c r="D236" i="1"/>
  <c r="D231" i="4" s="1"/>
  <c r="C236" i="1"/>
  <c r="C231" i="4" s="1"/>
  <c r="B236" i="1"/>
  <c r="B231" i="4" s="1"/>
  <c r="H236" i="1"/>
  <c r="H231" i="4" s="1"/>
  <c r="K236" i="1"/>
  <c r="K231" i="4" s="1"/>
  <c r="D235" i="1"/>
  <c r="D230" i="4" s="1"/>
  <c r="C235" i="1"/>
  <c r="C230" i="4" s="1"/>
  <c r="B235" i="1"/>
  <c r="B230" i="4" s="1"/>
  <c r="H235" i="1"/>
  <c r="H230" i="4" s="1"/>
  <c r="K235" i="1"/>
  <c r="K230" i="4" s="1"/>
  <c r="D234" i="1"/>
  <c r="D229" i="4" s="1"/>
  <c r="C234" i="1"/>
  <c r="C229" i="4" s="1"/>
  <c r="B234" i="1"/>
  <c r="B229" i="4" s="1"/>
  <c r="H234" i="1"/>
  <c r="H229" i="4" s="1"/>
  <c r="K234" i="1"/>
  <c r="K229" i="4" s="1"/>
  <c r="H233" i="1"/>
  <c r="H228" i="4" s="1"/>
  <c r="K233" i="1"/>
  <c r="K228" i="4" s="1"/>
  <c r="D233" i="1"/>
  <c r="D228" i="4" s="1"/>
  <c r="C233" i="1"/>
  <c r="C228" i="4" s="1"/>
  <c r="B233" i="1"/>
  <c r="B228" i="4" s="1"/>
  <c r="D232" i="1"/>
  <c r="D227" i="4" s="1"/>
  <c r="C232" i="1"/>
  <c r="C227" i="4" s="1"/>
  <c r="B232" i="1"/>
  <c r="B227" i="4" s="1"/>
  <c r="H232" i="1"/>
  <c r="H227" i="4" s="1"/>
  <c r="K232" i="1"/>
  <c r="K227" i="4" s="1"/>
  <c r="D231" i="1"/>
  <c r="D226" i="4" s="1"/>
  <c r="C231" i="1"/>
  <c r="C226" i="4" s="1"/>
  <c r="B231" i="1"/>
  <c r="B226" i="4" s="1"/>
  <c r="H231" i="1"/>
  <c r="H226" i="4" s="1"/>
  <c r="K231" i="1"/>
  <c r="K226" i="4" s="1"/>
  <c r="D230" i="1"/>
  <c r="D225" i="4" s="1"/>
  <c r="C230" i="1"/>
  <c r="C225" i="4" s="1"/>
  <c r="B230" i="1"/>
  <c r="B225" i="4" s="1"/>
  <c r="H230" i="1"/>
  <c r="H225" i="4" s="1"/>
  <c r="K230" i="1"/>
  <c r="K225" i="4" s="1"/>
  <c r="K229" i="1"/>
  <c r="K224" i="4" s="1"/>
  <c r="H229" i="1"/>
  <c r="H224" i="4" s="1"/>
  <c r="D229" i="1"/>
  <c r="D224" i="4" s="1"/>
  <c r="C229" i="1"/>
  <c r="C224" i="4" s="1"/>
  <c r="B229" i="1"/>
  <c r="B224" i="4" s="1"/>
  <c r="I247" i="1" l="1"/>
  <c r="I242" i="4" s="1"/>
  <c r="E241" i="4"/>
  <c r="G247" i="1"/>
  <c r="G242" i="4" s="1"/>
  <c r="E242" i="4"/>
  <c r="J249" i="1"/>
  <c r="J244" i="4" s="1"/>
  <c r="E243" i="4"/>
  <c r="G245" i="1"/>
  <c r="G240" i="4" s="1"/>
  <c r="E240" i="4"/>
  <c r="G244" i="1"/>
  <c r="G239" i="4" s="1"/>
  <c r="E239" i="4"/>
  <c r="A516" i="1"/>
  <c r="A510" i="4"/>
  <c r="E232" i="1"/>
  <c r="E234" i="1"/>
  <c r="E235" i="1"/>
  <c r="E243" i="1"/>
  <c r="G246" i="1"/>
  <c r="G241" i="4" s="1"/>
  <c r="J248" i="1"/>
  <c r="J243" i="4" s="1"/>
  <c r="J247" i="1"/>
  <c r="J242" i="4" s="1"/>
  <c r="E240" i="1"/>
  <c r="G248" i="1"/>
  <c r="G243" i="4" s="1"/>
  <c r="I248" i="1"/>
  <c r="I243" i="4" s="1"/>
  <c r="I249" i="1"/>
  <c r="I244" i="4" s="1"/>
  <c r="E236" i="1"/>
  <c r="J245" i="1"/>
  <c r="J240" i="4" s="1"/>
  <c r="I245" i="1"/>
  <c r="I240" i="4" s="1"/>
  <c r="I246" i="1"/>
  <c r="I241" i="4" s="1"/>
  <c r="J246" i="1"/>
  <c r="J241" i="4" s="1"/>
  <c r="E229" i="1"/>
  <c r="E230" i="1"/>
  <c r="E231" i="1"/>
  <c r="E226" i="4" s="1"/>
  <c r="E233" i="1"/>
  <c r="E228" i="4" s="1"/>
  <c r="E237" i="1"/>
  <c r="E232" i="4" s="1"/>
  <c r="E238" i="1"/>
  <c r="E239" i="1"/>
  <c r="E241" i="1"/>
  <c r="E242" i="1"/>
  <c r="E237" i="4" s="1"/>
  <c r="G231" i="1" l="1"/>
  <c r="G226" i="4" s="1"/>
  <c r="I241" i="1"/>
  <c r="I236" i="4" s="1"/>
  <c r="E236" i="4"/>
  <c r="G236" i="1"/>
  <c r="G231" i="4" s="1"/>
  <c r="E231" i="4"/>
  <c r="G239" i="1"/>
  <c r="G234" i="4" s="1"/>
  <c r="E234" i="4"/>
  <c r="J235" i="1"/>
  <c r="J230" i="4" s="1"/>
  <c r="E230" i="4"/>
  <c r="A517" i="1"/>
  <c r="A511" i="4"/>
  <c r="I244" i="1"/>
  <c r="I239" i="4" s="1"/>
  <c r="E238" i="4"/>
  <c r="G238" i="1"/>
  <c r="G233" i="4" s="1"/>
  <c r="E233" i="4"/>
  <c r="G230" i="1"/>
  <c r="G225" i="4" s="1"/>
  <c r="E225" i="4"/>
  <c r="G234" i="1"/>
  <c r="G229" i="4" s="1"/>
  <c r="E229" i="4"/>
  <c r="G240" i="1"/>
  <c r="G235" i="4" s="1"/>
  <c r="E235" i="4"/>
  <c r="G229" i="1"/>
  <c r="G224" i="4" s="1"/>
  <c r="E224" i="4"/>
  <c r="G232" i="1"/>
  <c r="G227" i="4" s="1"/>
  <c r="E227" i="4"/>
  <c r="I233" i="1"/>
  <c r="I228" i="4" s="1"/>
  <c r="I235" i="1"/>
  <c r="I230" i="4" s="1"/>
  <c r="G235" i="1"/>
  <c r="G230" i="4" s="1"/>
  <c r="J244" i="1"/>
  <c r="J239" i="4" s="1"/>
  <c r="I243" i="1"/>
  <c r="I238" i="4" s="1"/>
  <c r="G243" i="1"/>
  <c r="G238" i="4" s="1"/>
  <c r="I237" i="1"/>
  <c r="I232" i="4" s="1"/>
  <c r="G237" i="1"/>
  <c r="G232" i="4" s="1"/>
  <c r="I238" i="1"/>
  <c r="I233" i="4" s="1"/>
  <c r="J239" i="1"/>
  <c r="J234" i="4" s="1"/>
  <c r="I234" i="1"/>
  <c r="I229" i="4" s="1"/>
  <c r="J233" i="1"/>
  <c r="J228" i="4" s="1"/>
  <c r="I236" i="1"/>
  <c r="I231" i="4" s="1"/>
  <c r="J234" i="1"/>
  <c r="J229" i="4" s="1"/>
  <c r="G233" i="1"/>
  <c r="G228" i="4" s="1"/>
  <c r="J236" i="1"/>
  <c r="J231" i="4" s="1"/>
  <c r="I240" i="1"/>
  <c r="I235" i="4" s="1"/>
  <c r="G241" i="1"/>
  <c r="G236" i="4" s="1"/>
  <c r="J237" i="1"/>
  <c r="J232" i="4" s="1"/>
  <c r="J240" i="1"/>
  <c r="J235" i="4" s="1"/>
  <c r="J231" i="1"/>
  <c r="J226" i="4" s="1"/>
  <c r="I230" i="1"/>
  <c r="I225" i="4" s="1"/>
  <c r="J241" i="1"/>
  <c r="J236" i="4" s="1"/>
  <c r="I239" i="1"/>
  <c r="I234" i="4" s="1"/>
  <c r="J232" i="1"/>
  <c r="J227" i="4" s="1"/>
  <c r="J242" i="1"/>
  <c r="J237" i="4" s="1"/>
  <c r="J230" i="1"/>
  <c r="J225" i="4" s="1"/>
  <c r="I232" i="1"/>
  <c r="I227" i="4" s="1"/>
  <c r="I242" i="1"/>
  <c r="I237" i="4" s="1"/>
  <c r="G242" i="1"/>
  <c r="G237" i="4" s="1"/>
  <c r="J243" i="1"/>
  <c r="J238" i="4" s="1"/>
  <c r="J238" i="1"/>
  <c r="J233" i="4" s="1"/>
  <c r="I231" i="1"/>
  <c r="I226" i="4" s="1"/>
  <c r="D228" i="1"/>
  <c r="D223" i="4" s="1"/>
  <c r="C228" i="1"/>
  <c r="C223" i="4" s="1"/>
  <c r="B228" i="1"/>
  <c r="B223" i="4" s="1"/>
  <c r="H228" i="1"/>
  <c r="H223" i="4" s="1"/>
  <c r="K228" i="1"/>
  <c r="K223" i="4" s="1"/>
  <c r="D227" i="1"/>
  <c r="D222" i="4" s="1"/>
  <c r="C227" i="1"/>
  <c r="C222" i="4" s="1"/>
  <c r="B227" i="1"/>
  <c r="B222" i="4" s="1"/>
  <c r="H227" i="1"/>
  <c r="H222" i="4" s="1"/>
  <c r="K227" i="1"/>
  <c r="K222" i="4" s="1"/>
  <c r="D226" i="1"/>
  <c r="D221" i="4" s="1"/>
  <c r="C226" i="1"/>
  <c r="C221" i="4" s="1"/>
  <c r="B226" i="1"/>
  <c r="B221" i="4" s="1"/>
  <c r="H226" i="1"/>
  <c r="H221" i="4" s="1"/>
  <c r="K226" i="1"/>
  <c r="K221" i="4" s="1"/>
  <c r="D225" i="1"/>
  <c r="D220" i="4" s="1"/>
  <c r="C225" i="1"/>
  <c r="C220" i="4" s="1"/>
  <c r="B225" i="1"/>
  <c r="B220" i="4" s="1"/>
  <c r="H225" i="1"/>
  <c r="H220" i="4" s="1"/>
  <c r="K225" i="1"/>
  <c r="K220" i="4" s="1"/>
  <c r="D224" i="1"/>
  <c r="D219" i="4" s="1"/>
  <c r="C224" i="1"/>
  <c r="C219" i="4" s="1"/>
  <c r="B224" i="1"/>
  <c r="B219" i="4" s="1"/>
  <c r="H224" i="1"/>
  <c r="H219" i="4" s="1"/>
  <c r="K224" i="1"/>
  <c r="K219" i="4" s="1"/>
  <c r="D223" i="1"/>
  <c r="D218" i="4" s="1"/>
  <c r="C223" i="1"/>
  <c r="C218" i="4" s="1"/>
  <c r="B223" i="1"/>
  <c r="B218" i="4" s="1"/>
  <c r="H223" i="1"/>
  <c r="H218" i="4" s="1"/>
  <c r="K223" i="1"/>
  <c r="K218" i="4" s="1"/>
  <c r="D222" i="1"/>
  <c r="D217" i="4" s="1"/>
  <c r="C222" i="1"/>
  <c r="C217" i="4" s="1"/>
  <c r="B222" i="1"/>
  <c r="B217" i="4" s="1"/>
  <c r="H222" i="1"/>
  <c r="H217" i="4" s="1"/>
  <c r="K222" i="1"/>
  <c r="K217" i="4" s="1"/>
  <c r="D221" i="1"/>
  <c r="D216" i="4" s="1"/>
  <c r="C221" i="1"/>
  <c r="C216" i="4" s="1"/>
  <c r="B221" i="1"/>
  <c r="B216" i="4" s="1"/>
  <c r="A518" i="1" l="1"/>
  <c r="A512" i="4"/>
  <c r="E221" i="1"/>
  <c r="E216" i="4" s="1"/>
  <c r="E222" i="1"/>
  <c r="E223" i="1"/>
  <c r="E224" i="1"/>
  <c r="E225" i="1"/>
  <c r="E226" i="1"/>
  <c r="E221" i="4" s="1"/>
  <c r="E227" i="1"/>
  <c r="E228" i="1"/>
  <c r="H221" i="1"/>
  <c r="H216" i="4" s="1"/>
  <c r="K221" i="1"/>
  <c r="K216" i="4" s="1"/>
  <c r="D220" i="1"/>
  <c r="D215" i="4" s="1"/>
  <c r="C220" i="1"/>
  <c r="C215" i="4" s="1"/>
  <c r="B220" i="1"/>
  <c r="B215" i="4" s="1"/>
  <c r="H220" i="1"/>
  <c r="H215" i="4" s="1"/>
  <c r="K220" i="1"/>
  <c r="K215" i="4" s="1"/>
  <c r="D219" i="1"/>
  <c r="D214" i="4" s="1"/>
  <c r="C219" i="1"/>
  <c r="C214" i="4" s="1"/>
  <c r="B219" i="1"/>
  <c r="B214" i="4" s="1"/>
  <c r="H219" i="1"/>
  <c r="H214" i="4" s="1"/>
  <c r="K219" i="1"/>
  <c r="K214" i="4" s="1"/>
  <c r="D218" i="1"/>
  <c r="D213" i="4" s="1"/>
  <c r="C218" i="1"/>
  <c r="C213" i="4" s="1"/>
  <c r="B218" i="1"/>
  <c r="B213" i="4" s="1"/>
  <c r="H218" i="1"/>
  <c r="H213" i="4" s="1"/>
  <c r="K218" i="1"/>
  <c r="K213" i="4" s="1"/>
  <c r="D217" i="1"/>
  <c r="D212" i="4" s="1"/>
  <c r="C217" i="1"/>
  <c r="C212" i="4" s="1"/>
  <c r="B217" i="1"/>
  <c r="B212" i="4" s="1"/>
  <c r="H217" i="1"/>
  <c r="H212" i="4" s="1"/>
  <c r="K217" i="1"/>
  <c r="K212" i="4" s="1"/>
  <c r="D216" i="1"/>
  <c r="D211" i="4" s="1"/>
  <c r="C216" i="1"/>
  <c r="C211" i="4" s="1"/>
  <c r="B216" i="1"/>
  <c r="B211" i="4" s="1"/>
  <c r="H216" i="1"/>
  <c r="H211" i="4" s="1"/>
  <c r="K216" i="1"/>
  <c r="K211" i="4" s="1"/>
  <c r="D215" i="1"/>
  <c r="D210" i="4" s="1"/>
  <c r="C215" i="1"/>
  <c r="C210" i="4" s="1"/>
  <c r="B215" i="1"/>
  <c r="B210" i="4" s="1"/>
  <c r="H215" i="1"/>
  <c r="H210" i="4" s="1"/>
  <c r="K215" i="1"/>
  <c r="K210" i="4" s="1"/>
  <c r="D214" i="1"/>
  <c r="D209" i="4" s="1"/>
  <c r="C214" i="1"/>
  <c r="C209" i="4" s="1"/>
  <c r="B214" i="1"/>
  <c r="B209" i="4" s="1"/>
  <c r="H214" i="1"/>
  <c r="H209" i="4" s="1"/>
  <c r="K214" i="1"/>
  <c r="K209" i="4" s="1"/>
  <c r="D213" i="1"/>
  <c r="D208" i="4" s="1"/>
  <c r="C213" i="1"/>
  <c r="C208" i="4" s="1"/>
  <c r="B213" i="1"/>
  <c r="B208" i="4" s="1"/>
  <c r="H213" i="1"/>
  <c r="H208" i="4" s="1"/>
  <c r="K213" i="1"/>
  <c r="K208" i="4" s="1"/>
  <c r="D212" i="1"/>
  <c r="D207" i="4" s="1"/>
  <c r="C212" i="1"/>
  <c r="C207" i="4" s="1"/>
  <c r="B212" i="1"/>
  <c r="B207" i="4" s="1"/>
  <c r="H212" i="1"/>
  <c r="H207" i="4" s="1"/>
  <c r="K212" i="1"/>
  <c r="K207" i="4" s="1"/>
  <c r="D211" i="1"/>
  <c r="D206" i="4" s="1"/>
  <c r="C211" i="1"/>
  <c r="C206" i="4" s="1"/>
  <c r="B211" i="1"/>
  <c r="B206" i="4" s="1"/>
  <c r="H211" i="1"/>
  <c r="H206" i="4" s="1"/>
  <c r="K211" i="1"/>
  <c r="K206" i="4" s="1"/>
  <c r="D210" i="1"/>
  <c r="D205" i="4" s="1"/>
  <c r="C210" i="1"/>
  <c r="C205" i="4" s="1"/>
  <c r="B210" i="1"/>
  <c r="B205" i="4" s="1"/>
  <c r="H210" i="1"/>
  <c r="H205" i="4" s="1"/>
  <c r="K210" i="1"/>
  <c r="K205" i="4" s="1"/>
  <c r="D209" i="1"/>
  <c r="D204" i="4" s="1"/>
  <c r="C209" i="1"/>
  <c r="C204" i="4" s="1"/>
  <c r="B209" i="1"/>
  <c r="B204" i="4" s="1"/>
  <c r="H209" i="1"/>
  <c r="H204" i="4" s="1"/>
  <c r="K209" i="1"/>
  <c r="K204" i="4" s="1"/>
  <c r="D208" i="1"/>
  <c r="D203" i="4" s="1"/>
  <c r="C208" i="1"/>
  <c r="C203" i="4" s="1"/>
  <c r="B208" i="1"/>
  <c r="B203" i="4" s="1"/>
  <c r="H208" i="1"/>
  <c r="H203" i="4" s="1"/>
  <c r="K208" i="1"/>
  <c r="K203" i="4" s="1"/>
  <c r="D207" i="1"/>
  <c r="D202" i="4" s="1"/>
  <c r="C207" i="1"/>
  <c r="C202" i="4" s="1"/>
  <c r="B207" i="1"/>
  <c r="B202" i="4" s="1"/>
  <c r="H207" i="1"/>
  <c r="H202" i="4" s="1"/>
  <c r="K207" i="1"/>
  <c r="K202" i="4" s="1"/>
  <c r="D206" i="1"/>
  <c r="D201" i="4" s="1"/>
  <c r="C206" i="1"/>
  <c r="C201" i="4" s="1"/>
  <c r="B206" i="1"/>
  <c r="B201" i="4" s="1"/>
  <c r="H206" i="1"/>
  <c r="H201" i="4" s="1"/>
  <c r="K206" i="1"/>
  <c r="K201" i="4" s="1"/>
  <c r="D205" i="1"/>
  <c r="D200" i="4" s="1"/>
  <c r="C205" i="1"/>
  <c r="C200" i="4" s="1"/>
  <c r="B205" i="1"/>
  <c r="B200" i="4" s="1"/>
  <c r="H205" i="1"/>
  <c r="H200" i="4" s="1"/>
  <c r="K205" i="1"/>
  <c r="K200" i="4" s="1"/>
  <c r="D204" i="1"/>
  <c r="D199" i="4" s="1"/>
  <c r="C204" i="1"/>
  <c r="C199" i="4" s="1"/>
  <c r="B204" i="1"/>
  <c r="B199" i="4" s="1"/>
  <c r="H204" i="1"/>
  <c r="H199" i="4" s="1"/>
  <c r="K204" i="1"/>
  <c r="K199" i="4" s="1"/>
  <c r="D203" i="1"/>
  <c r="D198" i="4" s="1"/>
  <c r="C203" i="1"/>
  <c r="C198" i="4" s="1"/>
  <c r="B203" i="1"/>
  <c r="B198" i="4" s="1"/>
  <c r="H203" i="1"/>
  <c r="H198" i="4" s="1"/>
  <c r="K203" i="1"/>
  <c r="K198" i="4" s="1"/>
  <c r="D202" i="1"/>
  <c r="D197" i="4" s="1"/>
  <c r="C202" i="1"/>
  <c r="C197" i="4" s="1"/>
  <c r="B202" i="1"/>
  <c r="B197" i="4" s="1"/>
  <c r="H202" i="1"/>
  <c r="H197" i="4" s="1"/>
  <c r="K202" i="1"/>
  <c r="K197" i="4" s="1"/>
  <c r="D201" i="1"/>
  <c r="D196" i="4" s="1"/>
  <c r="C201" i="1"/>
  <c r="C196" i="4" s="1"/>
  <c r="B201" i="1"/>
  <c r="B196" i="4" s="1"/>
  <c r="H201" i="1"/>
  <c r="H196" i="4" s="1"/>
  <c r="K201" i="1"/>
  <c r="K196" i="4" s="1"/>
  <c r="D200" i="1"/>
  <c r="D195" i="4" s="1"/>
  <c r="C200" i="1"/>
  <c r="C195" i="4" s="1"/>
  <c r="B200" i="1"/>
  <c r="B195" i="4" s="1"/>
  <c r="H200" i="1"/>
  <c r="H195" i="4" s="1"/>
  <c r="K200" i="1"/>
  <c r="K195" i="4" s="1"/>
  <c r="D199" i="1"/>
  <c r="D194" i="4" s="1"/>
  <c r="C199" i="1"/>
  <c r="C194" i="4" s="1"/>
  <c r="B199" i="1"/>
  <c r="B194" i="4" s="1"/>
  <c r="H199" i="1"/>
  <c r="H194" i="4" s="1"/>
  <c r="K199" i="1"/>
  <c r="K194" i="4" s="1"/>
  <c r="D198" i="1"/>
  <c r="D193" i="4" s="1"/>
  <c r="C198" i="1"/>
  <c r="C193" i="4" s="1"/>
  <c r="B198" i="1"/>
  <c r="B193" i="4" s="1"/>
  <c r="H198" i="1"/>
  <c r="H193" i="4" s="1"/>
  <c r="K198" i="1"/>
  <c r="K193" i="4" s="1"/>
  <c r="K197" i="1"/>
  <c r="K192" i="4" s="1"/>
  <c r="H197" i="1"/>
  <c r="H192" i="4" s="1"/>
  <c r="C197" i="1"/>
  <c r="C192" i="4" s="1"/>
  <c r="D197" i="1"/>
  <c r="D192" i="4" s="1"/>
  <c r="B197" i="1"/>
  <c r="B192" i="4" s="1"/>
  <c r="D196" i="1"/>
  <c r="D191" i="4" s="1"/>
  <c r="C196" i="1"/>
  <c r="C191" i="4" s="1"/>
  <c r="B196" i="1"/>
  <c r="B191" i="4" s="1"/>
  <c r="H196" i="1"/>
  <c r="H191" i="4" s="1"/>
  <c r="K196" i="1"/>
  <c r="K191" i="4" s="1"/>
  <c r="D195" i="1"/>
  <c r="D190" i="4" s="1"/>
  <c r="C195" i="1"/>
  <c r="C190" i="4" s="1"/>
  <c r="B195" i="1"/>
  <c r="B190" i="4" s="1"/>
  <c r="H195" i="1"/>
  <c r="H190" i="4" s="1"/>
  <c r="K195" i="1"/>
  <c r="K190" i="4" s="1"/>
  <c r="D194" i="1"/>
  <c r="D189" i="4" s="1"/>
  <c r="C194" i="1"/>
  <c r="C189" i="4" s="1"/>
  <c r="B194" i="1"/>
  <c r="B189" i="4" s="1"/>
  <c r="H194" i="1"/>
  <c r="H189" i="4" s="1"/>
  <c r="K194" i="1"/>
  <c r="K189" i="4" s="1"/>
  <c r="D193" i="1"/>
  <c r="D188" i="4" s="1"/>
  <c r="C193" i="1"/>
  <c r="C188" i="4" s="1"/>
  <c r="B193" i="1"/>
  <c r="B188" i="4" s="1"/>
  <c r="H193" i="1"/>
  <c r="H188" i="4" s="1"/>
  <c r="K193" i="1"/>
  <c r="K188" i="4" s="1"/>
  <c r="D192" i="1"/>
  <c r="D187" i="4" s="1"/>
  <c r="C192" i="1"/>
  <c r="C187" i="4" s="1"/>
  <c r="B192" i="1"/>
  <c r="B187" i="4" s="1"/>
  <c r="H192" i="1"/>
  <c r="H187" i="4" s="1"/>
  <c r="K192" i="1"/>
  <c r="K187" i="4" s="1"/>
  <c r="D191" i="1"/>
  <c r="D186" i="4" s="1"/>
  <c r="C191" i="1"/>
  <c r="C186" i="4" s="1"/>
  <c r="B191" i="1"/>
  <c r="B186" i="4" s="1"/>
  <c r="H191" i="1"/>
  <c r="H186" i="4" s="1"/>
  <c r="K191" i="1"/>
  <c r="K186" i="4" s="1"/>
  <c r="D190" i="1"/>
  <c r="D185" i="4" s="1"/>
  <c r="C190" i="1"/>
  <c r="C185" i="4" s="1"/>
  <c r="B190" i="1"/>
  <c r="B185" i="4" s="1"/>
  <c r="H190" i="1"/>
  <c r="H185" i="4" s="1"/>
  <c r="K190" i="1"/>
  <c r="K185" i="4" s="1"/>
  <c r="D189" i="1"/>
  <c r="D184" i="4" s="1"/>
  <c r="C189" i="1"/>
  <c r="C184" i="4" s="1"/>
  <c r="B189" i="1"/>
  <c r="B184" i="4" s="1"/>
  <c r="H189" i="1"/>
  <c r="H184" i="4" s="1"/>
  <c r="K189" i="1"/>
  <c r="K184" i="4" s="1"/>
  <c r="D188" i="1"/>
  <c r="D183" i="4" s="1"/>
  <c r="C188" i="1"/>
  <c r="C183" i="4" s="1"/>
  <c r="B188" i="1"/>
  <c r="B183" i="4" s="1"/>
  <c r="H188" i="1"/>
  <c r="H183" i="4" s="1"/>
  <c r="K188" i="1"/>
  <c r="K183" i="4" s="1"/>
  <c r="D187" i="1"/>
  <c r="D182" i="4" s="1"/>
  <c r="C187" i="1"/>
  <c r="C182" i="4" s="1"/>
  <c r="B187" i="1"/>
  <c r="B182" i="4" s="1"/>
  <c r="H187" i="1"/>
  <c r="H182" i="4" s="1"/>
  <c r="K187" i="1"/>
  <c r="K182" i="4" s="1"/>
  <c r="D186" i="1"/>
  <c r="D181" i="4" s="1"/>
  <c r="C186" i="1"/>
  <c r="C181" i="4" s="1"/>
  <c r="B186" i="1"/>
  <c r="B181" i="4" s="1"/>
  <c r="H186" i="1"/>
  <c r="H181" i="4" s="1"/>
  <c r="K186" i="1"/>
  <c r="K181" i="4" s="1"/>
  <c r="H185" i="1"/>
  <c r="H180" i="4" s="1"/>
  <c r="K185" i="1"/>
  <c r="K180" i="4" s="1"/>
  <c r="D185" i="1"/>
  <c r="D180" i="4" s="1"/>
  <c r="C185" i="1"/>
  <c r="C180" i="4" s="1"/>
  <c r="B185" i="1"/>
  <c r="B180" i="4" s="1"/>
  <c r="D184" i="1"/>
  <c r="D179" i="4" s="1"/>
  <c r="C184" i="1"/>
  <c r="C179" i="4" s="1"/>
  <c r="B184" i="1"/>
  <c r="B179" i="4" s="1"/>
  <c r="H184" i="1"/>
  <c r="H179" i="4" s="1"/>
  <c r="K184" i="1"/>
  <c r="K179" i="4" s="1"/>
  <c r="D183" i="1"/>
  <c r="D178" i="4" s="1"/>
  <c r="C183" i="1"/>
  <c r="C178" i="4" s="1"/>
  <c r="B183" i="1"/>
  <c r="B178" i="4" s="1"/>
  <c r="H183" i="1"/>
  <c r="H178" i="4" s="1"/>
  <c r="K183" i="1"/>
  <c r="K178" i="4" s="1"/>
  <c r="D182" i="1"/>
  <c r="D177" i="4" s="1"/>
  <c r="C182" i="1"/>
  <c r="C177" i="4" s="1"/>
  <c r="B182" i="1"/>
  <c r="B177" i="4" s="1"/>
  <c r="H182" i="1"/>
  <c r="H177" i="4" s="1"/>
  <c r="K182" i="1"/>
  <c r="K177" i="4" s="1"/>
  <c r="D181" i="1"/>
  <c r="D176" i="4" s="1"/>
  <c r="C181" i="1"/>
  <c r="C176" i="4" s="1"/>
  <c r="B181" i="1"/>
  <c r="B176" i="4" s="1"/>
  <c r="H181" i="1"/>
  <c r="H176" i="4" s="1"/>
  <c r="K181" i="1"/>
  <c r="K176" i="4" s="1"/>
  <c r="D180" i="1"/>
  <c r="D175" i="4" s="1"/>
  <c r="C180" i="1"/>
  <c r="C175" i="4" s="1"/>
  <c r="B180" i="1"/>
  <c r="B175" i="4" s="1"/>
  <c r="H180" i="1"/>
  <c r="H175" i="4" s="1"/>
  <c r="K180" i="1"/>
  <c r="K175" i="4" s="1"/>
  <c r="D179" i="1"/>
  <c r="D174" i="4" s="1"/>
  <c r="C179" i="1"/>
  <c r="C174" i="4" s="1"/>
  <c r="B179" i="1"/>
  <c r="B174" i="4" s="1"/>
  <c r="H179" i="1"/>
  <c r="H174" i="4" s="1"/>
  <c r="K179" i="1"/>
  <c r="K174" i="4" s="1"/>
  <c r="D178" i="1"/>
  <c r="D173" i="4" s="1"/>
  <c r="C178" i="1"/>
  <c r="C173" i="4" s="1"/>
  <c r="B178" i="1"/>
  <c r="B173" i="4" s="1"/>
  <c r="H178" i="1"/>
  <c r="H173" i="4" s="1"/>
  <c r="K178" i="1"/>
  <c r="K173" i="4" s="1"/>
  <c r="D177" i="1"/>
  <c r="D172" i="4" s="1"/>
  <c r="C177" i="1"/>
  <c r="C172" i="4" s="1"/>
  <c r="B177" i="1"/>
  <c r="B172" i="4" s="1"/>
  <c r="H177" i="1"/>
  <c r="H172" i="4" s="1"/>
  <c r="K177" i="1"/>
  <c r="K172" i="4" s="1"/>
  <c r="H176" i="1"/>
  <c r="H171" i="4" s="1"/>
  <c r="K176" i="1"/>
  <c r="K171" i="4" s="1"/>
  <c r="D176" i="1"/>
  <c r="D171" i="4" s="1"/>
  <c r="C176" i="1"/>
  <c r="C171" i="4" s="1"/>
  <c r="B176" i="1"/>
  <c r="B171" i="4" s="1"/>
  <c r="D175" i="1"/>
  <c r="D170" i="4" s="1"/>
  <c r="C175" i="1"/>
  <c r="C170" i="4" s="1"/>
  <c r="B175" i="1"/>
  <c r="B170" i="4" s="1"/>
  <c r="H175" i="1"/>
  <c r="H170" i="4" s="1"/>
  <c r="K175" i="1"/>
  <c r="K170" i="4" s="1"/>
  <c r="D174" i="1"/>
  <c r="D169" i="4" s="1"/>
  <c r="C174" i="1"/>
  <c r="C169" i="4" s="1"/>
  <c r="B174" i="1"/>
  <c r="B169" i="4" s="1"/>
  <c r="H174" i="1"/>
  <c r="H169" i="4" s="1"/>
  <c r="K174" i="1"/>
  <c r="K169" i="4" s="1"/>
  <c r="D173" i="1"/>
  <c r="D168" i="4" s="1"/>
  <c r="C173" i="1"/>
  <c r="C168" i="4" s="1"/>
  <c r="B173" i="1"/>
  <c r="B168" i="4" s="1"/>
  <c r="H173" i="1"/>
  <c r="H168" i="4" s="1"/>
  <c r="K173" i="1"/>
  <c r="K168" i="4" s="1"/>
  <c r="D172" i="1"/>
  <c r="D167" i="4" s="1"/>
  <c r="C172" i="1"/>
  <c r="C167" i="4" s="1"/>
  <c r="B172" i="1"/>
  <c r="B167" i="4" s="1"/>
  <c r="H172" i="1"/>
  <c r="H167" i="4" s="1"/>
  <c r="K172" i="1"/>
  <c r="K167" i="4" s="1"/>
  <c r="D171" i="1"/>
  <c r="D166" i="4" s="1"/>
  <c r="C171" i="1"/>
  <c r="C166" i="4" s="1"/>
  <c r="B171" i="1"/>
  <c r="B166" i="4" s="1"/>
  <c r="H171" i="1"/>
  <c r="H166" i="4" s="1"/>
  <c r="K171" i="1"/>
  <c r="K166" i="4" s="1"/>
  <c r="D170" i="1"/>
  <c r="D165" i="4" s="1"/>
  <c r="C170" i="1"/>
  <c r="C165" i="4" s="1"/>
  <c r="B170" i="1"/>
  <c r="B165" i="4" s="1"/>
  <c r="H170" i="1"/>
  <c r="H165" i="4" s="1"/>
  <c r="K170" i="1"/>
  <c r="K165" i="4" s="1"/>
  <c r="D169" i="1"/>
  <c r="D164" i="4" s="1"/>
  <c r="C169" i="1"/>
  <c r="C164" i="4" s="1"/>
  <c r="B169" i="1"/>
  <c r="B164" i="4" s="1"/>
  <c r="H169" i="1"/>
  <c r="H164" i="4" s="1"/>
  <c r="K169" i="1"/>
  <c r="K164" i="4" s="1"/>
  <c r="D168" i="1"/>
  <c r="D163" i="4" s="1"/>
  <c r="C168" i="1"/>
  <c r="C163" i="4" s="1"/>
  <c r="B168" i="1"/>
  <c r="B163" i="4" s="1"/>
  <c r="H168" i="1"/>
  <c r="H163" i="4" s="1"/>
  <c r="K168" i="1"/>
  <c r="K163" i="4" s="1"/>
  <c r="D167" i="1"/>
  <c r="D162" i="4" s="1"/>
  <c r="C167" i="1"/>
  <c r="C162" i="4" s="1"/>
  <c r="B167" i="1"/>
  <c r="B162" i="4" s="1"/>
  <c r="H167" i="1"/>
  <c r="H162" i="4" s="1"/>
  <c r="K167" i="1"/>
  <c r="K162" i="4" s="1"/>
  <c r="D166" i="1"/>
  <c r="D161" i="4" s="1"/>
  <c r="C166" i="1"/>
  <c r="C161" i="4" s="1"/>
  <c r="B166" i="1"/>
  <c r="B161" i="4" s="1"/>
  <c r="H166" i="1"/>
  <c r="H161" i="4" s="1"/>
  <c r="K166" i="1"/>
  <c r="K161" i="4" s="1"/>
  <c r="D165" i="1"/>
  <c r="D160" i="4" s="1"/>
  <c r="C165" i="1"/>
  <c r="C160" i="4" s="1"/>
  <c r="B165" i="1"/>
  <c r="B160" i="4" s="1"/>
  <c r="H165" i="1"/>
  <c r="H160" i="4" s="1"/>
  <c r="K165" i="1"/>
  <c r="K160" i="4" s="1"/>
  <c r="D164" i="1"/>
  <c r="D159" i="4" s="1"/>
  <c r="C164" i="1"/>
  <c r="C159" i="4" s="1"/>
  <c r="B164" i="1"/>
  <c r="B159" i="4" s="1"/>
  <c r="H164" i="1"/>
  <c r="H159" i="4" s="1"/>
  <c r="K164" i="1"/>
  <c r="K159" i="4" s="1"/>
  <c r="D163" i="1"/>
  <c r="D158" i="4" s="1"/>
  <c r="C163" i="1"/>
  <c r="C158" i="4" s="1"/>
  <c r="B163" i="1"/>
  <c r="B158" i="4" s="1"/>
  <c r="H163" i="1"/>
  <c r="H158" i="4" s="1"/>
  <c r="K163" i="1"/>
  <c r="K158" i="4" s="1"/>
  <c r="H162" i="1"/>
  <c r="H157" i="4" s="1"/>
  <c r="K162" i="1"/>
  <c r="K157" i="4" s="1"/>
  <c r="D162" i="1"/>
  <c r="D157" i="4" s="1"/>
  <c r="C162" i="1"/>
  <c r="C157" i="4" s="1"/>
  <c r="B162" i="1"/>
  <c r="B157" i="4" s="1"/>
  <c r="D161" i="1"/>
  <c r="D156" i="4" s="1"/>
  <c r="C161" i="1"/>
  <c r="C156" i="4" s="1"/>
  <c r="B161" i="1"/>
  <c r="B156" i="4" s="1"/>
  <c r="H161" i="1"/>
  <c r="H156" i="4" s="1"/>
  <c r="K161" i="1"/>
  <c r="K156" i="4" s="1"/>
  <c r="D160" i="1"/>
  <c r="D155" i="4" s="1"/>
  <c r="C160" i="1"/>
  <c r="C155" i="4" s="1"/>
  <c r="B160" i="1"/>
  <c r="B155" i="4" s="1"/>
  <c r="H160" i="1"/>
  <c r="H155" i="4" s="1"/>
  <c r="K160" i="1"/>
  <c r="K155" i="4" s="1"/>
  <c r="D159" i="1"/>
  <c r="D154" i="4" s="1"/>
  <c r="C159" i="1"/>
  <c r="C154" i="4" s="1"/>
  <c r="B159" i="1"/>
  <c r="B154" i="4" s="1"/>
  <c r="H159" i="1"/>
  <c r="H154" i="4" s="1"/>
  <c r="K159" i="1"/>
  <c r="K154" i="4" s="1"/>
  <c r="D158" i="1"/>
  <c r="D153" i="4" s="1"/>
  <c r="C158" i="1"/>
  <c r="C153" i="4" s="1"/>
  <c r="B158" i="1"/>
  <c r="B153" i="4" s="1"/>
  <c r="H158" i="1"/>
  <c r="H153" i="4" s="1"/>
  <c r="K158" i="1"/>
  <c r="K153" i="4" s="1"/>
  <c r="H157" i="1"/>
  <c r="H152" i="4" s="1"/>
  <c r="K157" i="1"/>
  <c r="K152" i="4" s="1"/>
  <c r="D157" i="1"/>
  <c r="D152" i="4" s="1"/>
  <c r="C157" i="1"/>
  <c r="C152" i="4" s="1"/>
  <c r="B157" i="1"/>
  <c r="B152" i="4" s="1"/>
  <c r="D156" i="1"/>
  <c r="D151" i="4" s="1"/>
  <c r="C156" i="1"/>
  <c r="C151" i="4" s="1"/>
  <c r="B156" i="1"/>
  <c r="B151" i="4" s="1"/>
  <c r="H156" i="1"/>
  <c r="H151" i="4" s="1"/>
  <c r="K156" i="1"/>
  <c r="K151" i="4" s="1"/>
  <c r="H155" i="1"/>
  <c r="H150" i="4" s="1"/>
  <c r="K155" i="1"/>
  <c r="K150" i="4" s="1"/>
  <c r="D155" i="1"/>
  <c r="D150" i="4" s="1"/>
  <c r="C155" i="1"/>
  <c r="C150" i="4" s="1"/>
  <c r="B155" i="1"/>
  <c r="B150" i="4" s="1"/>
  <c r="D154" i="1"/>
  <c r="D149" i="4" s="1"/>
  <c r="C154" i="1"/>
  <c r="C149" i="4" s="1"/>
  <c r="B154" i="1"/>
  <c r="B149" i="4" s="1"/>
  <c r="H154" i="1"/>
  <c r="H149" i="4" s="1"/>
  <c r="K154" i="1"/>
  <c r="K149" i="4" s="1"/>
  <c r="H153" i="1"/>
  <c r="H148" i="4" s="1"/>
  <c r="K153" i="1"/>
  <c r="K148" i="4" s="1"/>
  <c r="D153" i="1"/>
  <c r="D148" i="4" s="1"/>
  <c r="C153" i="1"/>
  <c r="C148" i="4" s="1"/>
  <c r="B153" i="1"/>
  <c r="B148" i="4" s="1"/>
  <c r="D152" i="1"/>
  <c r="D147" i="4" s="1"/>
  <c r="C152" i="1"/>
  <c r="C147" i="4" s="1"/>
  <c r="B152" i="1"/>
  <c r="B147" i="4" s="1"/>
  <c r="H152" i="1"/>
  <c r="H147" i="4" s="1"/>
  <c r="K152" i="1"/>
  <c r="K147" i="4" s="1"/>
  <c r="D151" i="1"/>
  <c r="D146" i="4" s="1"/>
  <c r="C151" i="1"/>
  <c r="C146" i="4" s="1"/>
  <c r="B151" i="1"/>
  <c r="B146" i="4" s="1"/>
  <c r="H151" i="1"/>
  <c r="H146" i="4" s="1"/>
  <c r="K151" i="1"/>
  <c r="K146" i="4" s="1"/>
  <c r="D150" i="1"/>
  <c r="D145" i="4" s="1"/>
  <c r="C150" i="1"/>
  <c r="C145" i="4" s="1"/>
  <c r="B150" i="1"/>
  <c r="B145" i="4" s="1"/>
  <c r="H150" i="1"/>
  <c r="H145" i="4" s="1"/>
  <c r="K150" i="1"/>
  <c r="K145" i="4" s="1"/>
  <c r="D149" i="1"/>
  <c r="D144" i="4" s="1"/>
  <c r="C149" i="1"/>
  <c r="C144" i="4" s="1"/>
  <c r="B149" i="1"/>
  <c r="B144" i="4" s="1"/>
  <c r="H149" i="1"/>
  <c r="H144" i="4" s="1"/>
  <c r="K149" i="1"/>
  <c r="K144" i="4" s="1"/>
  <c r="D148" i="1"/>
  <c r="D143" i="4" s="1"/>
  <c r="C148" i="1"/>
  <c r="C143" i="4" s="1"/>
  <c r="B148" i="1"/>
  <c r="B143" i="4" s="1"/>
  <c r="H148" i="1"/>
  <c r="H143" i="4" s="1"/>
  <c r="K148" i="1"/>
  <c r="K143" i="4" s="1"/>
  <c r="K147" i="1"/>
  <c r="K142" i="4" s="1"/>
  <c r="D147" i="1"/>
  <c r="D142" i="4" s="1"/>
  <c r="C147" i="1"/>
  <c r="C142" i="4" s="1"/>
  <c r="B147" i="1"/>
  <c r="B142" i="4" s="1"/>
  <c r="H147" i="1"/>
  <c r="H142" i="4" s="1"/>
  <c r="D146" i="1"/>
  <c r="D141" i="4" s="1"/>
  <c r="C146" i="1"/>
  <c r="C141" i="4" s="1"/>
  <c r="B146" i="1"/>
  <c r="B141" i="4" s="1"/>
  <c r="H146" i="1"/>
  <c r="H141" i="4" s="1"/>
  <c r="K146" i="1"/>
  <c r="K141" i="4" s="1"/>
  <c r="D145" i="1"/>
  <c r="D140" i="4" s="1"/>
  <c r="C145" i="1"/>
  <c r="C140" i="4" s="1"/>
  <c r="B145" i="1"/>
  <c r="B140" i="4" s="1"/>
  <c r="H145" i="1"/>
  <c r="H140" i="4" s="1"/>
  <c r="K145" i="1"/>
  <c r="K140" i="4" s="1"/>
  <c r="D144" i="1"/>
  <c r="D139" i="4" s="1"/>
  <c r="C144" i="1"/>
  <c r="C139" i="4" s="1"/>
  <c r="B144" i="1"/>
  <c r="B139" i="4" s="1"/>
  <c r="H144" i="1"/>
  <c r="H139" i="4" s="1"/>
  <c r="K144" i="1"/>
  <c r="K139" i="4" s="1"/>
  <c r="D143" i="1"/>
  <c r="D138" i="4" s="1"/>
  <c r="C143" i="1"/>
  <c r="C138" i="4" s="1"/>
  <c r="B143" i="1"/>
  <c r="B138" i="4" s="1"/>
  <c r="H143" i="1"/>
  <c r="H138" i="4" s="1"/>
  <c r="K143" i="1"/>
  <c r="K138" i="4" s="1"/>
  <c r="D142" i="1"/>
  <c r="D137" i="4" s="1"/>
  <c r="C142" i="1"/>
  <c r="C137" i="4" s="1"/>
  <c r="B142" i="1"/>
  <c r="B137" i="4" s="1"/>
  <c r="H142" i="1"/>
  <c r="H137" i="4" s="1"/>
  <c r="K142" i="1"/>
  <c r="K137" i="4" s="1"/>
  <c r="D141" i="1"/>
  <c r="D136" i="4" s="1"/>
  <c r="C141" i="1"/>
  <c r="C136" i="4" s="1"/>
  <c r="B141" i="1"/>
  <c r="B136" i="4" s="1"/>
  <c r="H141" i="1"/>
  <c r="H136" i="4" s="1"/>
  <c r="D140" i="1"/>
  <c r="D135" i="4" s="1"/>
  <c r="C140" i="1"/>
  <c r="C135" i="4" s="1"/>
  <c r="B140" i="1"/>
  <c r="B135" i="4" s="1"/>
  <c r="H140" i="1"/>
  <c r="H135" i="4" s="1"/>
  <c r="B139" i="1"/>
  <c r="B134" i="4" s="1"/>
  <c r="C139" i="1"/>
  <c r="C134" i="4" s="1"/>
  <c r="D139" i="1"/>
  <c r="D134" i="4" s="1"/>
  <c r="K140" i="1"/>
  <c r="K135" i="4" s="1"/>
  <c r="H139" i="1"/>
  <c r="H134" i="4" s="1"/>
  <c r="B138" i="1"/>
  <c r="B133" i="4" s="1"/>
  <c r="C138" i="1"/>
  <c r="C133" i="4" s="1"/>
  <c r="D138" i="1"/>
  <c r="D133" i="4" s="1"/>
  <c r="K139" i="1"/>
  <c r="K134" i="4" s="1"/>
  <c r="H138" i="1"/>
  <c r="H133" i="4" s="1"/>
  <c r="B137" i="1"/>
  <c r="B132" i="4" s="1"/>
  <c r="C137" i="1"/>
  <c r="C132" i="4" s="1"/>
  <c r="D137" i="1"/>
  <c r="D132" i="4" s="1"/>
  <c r="K138" i="1"/>
  <c r="K133" i="4" s="1"/>
  <c r="H137" i="1"/>
  <c r="H132" i="4" s="1"/>
  <c r="B136" i="1"/>
  <c r="B131" i="4" s="1"/>
  <c r="C136" i="1"/>
  <c r="C131" i="4" s="1"/>
  <c r="D136" i="1"/>
  <c r="D131" i="4" s="1"/>
  <c r="K137" i="1"/>
  <c r="K132" i="4" s="1"/>
  <c r="H136" i="1"/>
  <c r="H131" i="4" s="1"/>
  <c r="B135" i="1"/>
  <c r="B130" i="4" s="1"/>
  <c r="C135" i="1"/>
  <c r="C130" i="4" s="1"/>
  <c r="D135" i="1"/>
  <c r="D130" i="4" s="1"/>
  <c r="K136" i="1"/>
  <c r="K131" i="4" s="1"/>
  <c r="B134" i="1"/>
  <c r="B129" i="4" s="1"/>
  <c r="C134" i="1"/>
  <c r="C129" i="4" s="1"/>
  <c r="D134" i="1"/>
  <c r="D129" i="4" s="1"/>
  <c r="H135" i="1"/>
  <c r="H130" i="4" s="1"/>
  <c r="K135" i="1"/>
  <c r="K130" i="4" s="1"/>
  <c r="H134" i="1"/>
  <c r="H129" i="4" s="1"/>
  <c r="B133" i="1"/>
  <c r="B128" i="4" s="1"/>
  <c r="C133" i="1"/>
  <c r="C128" i="4" s="1"/>
  <c r="D133" i="1"/>
  <c r="D128" i="4" s="1"/>
  <c r="K134" i="1"/>
  <c r="K129" i="4" s="1"/>
  <c r="B132" i="1"/>
  <c r="B127" i="4" s="1"/>
  <c r="C132" i="1"/>
  <c r="C127" i="4" s="1"/>
  <c r="D132" i="1"/>
  <c r="D127" i="4" s="1"/>
  <c r="H133" i="1"/>
  <c r="H128" i="4" s="1"/>
  <c r="K133" i="1"/>
  <c r="K128" i="4" s="1"/>
  <c r="F89" i="1"/>
  <c r="B71" i="1"/>
  <c r="B66" i="4" s="1"/>
  <c r="C71" i="1"/>
  <c r="C66" i="4" s="1"/>
  <c r="D71" i="1"/>
  <c r="D66" i="4" s="1"/>
  <c r="B72" i="1"/>
  <c r="B67" i="4" s="1"/>
  <c r="C72" i="1"/>
  <c r="C67" i="4" s="1"/>
  <c r="D72" i="1"/>
  <c r="D67" i="4" s="1"/>
  <c r="B73" i="1"/>
  <c r="B68" i="4" s="1"/>
  <c r="C73" i="1"/>
  <c r="C68" i="4" s="1"/>
  <c r="D73" i="1"/>
  <c r="D68" i="4" s="1"/>
  <c r="B74" i="1"/>
  <c r="B69" i="4" s="1"/>
  <c r="C74" i="1"/>
  <c r="C69" i="4" s="1"/>
  <c r="D74" i="1"/>
  <c r="D69" i="4" s="1"/>
  <c r="B75" i="1"/>
  <c r="B70" i="4" s="1"/>
  <c r="C75" i="1"/>
  <c r="C70" i="4" s="1"/>
  <c r="D75" i="1"/>
  <c r="D70" i="4" s="1"/>
  <c r="B76" i="1"/>
  <c r="B71" i="4" s="1"/>
  <c r="C76" i="1"/>
  <c r="C71" i="4" s="1"/>
  <c r="D76" i="1"/>
  <c r="D71" i="4" s="1"/>
  <c r="B77" i="1"/>
  <c r="B72" i="4" s="1"/>
  <c r="C77" i="1"/>
  <c r="C72" i="4" s="1"/>
  <c r="D77" i="1"/>
  <c r="D72" i="4" s="1"/>
  <c r="C78" i="1"/>
  <c r="C73" i="4" s="1"/>
  <c r="D78" i="1"/>
  <c r="D73" i="4" s="1"/>
  <c r="B79" i="1"/>
  <c r="B74" i="4" s="1"/>
  <c r="C79" i="1"/>
  <c r="C74" i="4" s="1"/>
  <c r="D79" i="1"/>
  <c r="D74" i="4" s="1"/>
  <c r="B80" i="1"/>
  <c r="B75" i="4" s="1"/>
  <c r="C80" i="1"/>
  <c r="C75" i="4" s="1"/>
  <c r="D80" i="1"/>
  <c r="D75" i="4" s="1"/>
  <c r="B81" i="1"/>
  <c r="B76" i="4" s="1"/>
  <c r="C81" i="1"/>
  <c r="C76" i="4" s="1"/>
  <c r="D81" i="1"/>
  <c r="D76" i="4" s="1"/>
  <c r="B82" i="1"/>
  <c r="B77" i="4" s="1"/>
  <c r="C82" i="1"/>
  <c r="C77" i="4" s="1"/>
  <c r="D82" i="1"/>
  <c r="D77" i="4" s="1"/>
  <c r="B83" i="1"/>
  <c r="B78" i="4" s="1"/>
  <c r="C83" i="1"/>
  <c r="C78" i="4" s="1"/>
  <c r="D83" i="1"/>
  <c r="D78" i="4" s="1"/>
  <c r="B84" i="1"/>
  <c r="B79" i="4" s="1"/>
  <c r="C84" i="1"/>
  <c r="C79" i="4" s="1"/>
  <c r="D84" i="1"/>
  <c r="D79" i="4" s="1"/>
  <c r="B85" i="1"/>
  <c r="B80" i="4" s="1"/>
  <c r="C85" i="1"/>
  <c r="C80" i="4" s="1"/>
  <c r="D85" i="1"/>
  <c r="D80" i="4" s="1"/>
  <c r="B86" i="1"/>
  <c r="B81" i="4" s="1"/>
  <c r="C86" i="1"/>
  <c r="C81" i="4" s="1"/>
  <c r="D86" i="1"/>
  <c r="D81" i="4" s="1"/>
  <c r="B87" i="1"/>
  <c r="B82" i="4" s="1"/>
  <c r="C87" i="1"/>
  <c r="C82" i="4" s="1"/>
  <c r="D87" i="1"/>
  <c r="D82" i="4" s="1"/>
  <c r="B88" i="1"/>
  <c r="B83" i="4" s="1"/>
  <c r="C88" i="1"/>
  <c r="C83" i="4" s="1"/>
  <c r="D88" i="1"/>
  <c r="D83" i="4" s="1"/>
  <c r="B89" i="1"/>
  <c r="B84" i="4" s="1"/>
  <c r="C89" i="1"/>
  <c r="C84" i="4" s="1"/>
  <c r="D89" i="1"/>
  <c r="D84" i="4" s="1"/>
  <c r="B90" i="1"/>
  <c r="B85" i="4" s="1"/>
  <c r="C90" i="1"/>
  <c r="C85" i="4" s="1"/>
  <c r="D90" i="1"/>
  <c r="D85" i="4" s="1"/>
  <c r="B91" i="1"/>
  <c r="B86" i="4" s="1"/>
  <c r="C91" i="1"/>
  <c r="C86" i="4" s="1"/>
  <c r="D91" i="1"/>
  <c r="D86" i="4" s="1"/>
  <c r="B92" i="1"/>
  <c r="B87" i="4" s="1"/>
  <c r="C92" i="1"/>
  <c r="C87" i="4" s="1"/>
  <c r="D92" i="1"/>
  <c r="D87" i="4" s="1"/>
  <c r="B93" i="1"/>
  <c r="B88" i="4" s="1"/>
  <c r="C93" i="1"/>
  <c r="C88" i="4" s="1"/>
  <c r="D93" i="1"/>
  <c r="D88" i="4" s="1"/>
  <c r="B94" i="1"/>
  <c r="B89" i="4" s="1"/>
  <c r="C94" i="1"/>
  <c r="C89" i="4" s="1"/>
  <c r="D94" i="1"/>
  <c r="D89" i="4" s="1"/>
  <c r="B95" i="1"/>
  <c r="B90" i="4" s="1"/>
  <c r="C95" i="1"/>
  <c r="C90" i="4" s="1"/>
  <c r="D95" i="1"/>
  <c r="D90" i="4" s="1"/>
  <c r="B96" i="1"/>
  <c r="B91" i="4" s="1"/>
  <c r="C96" i="1"/>
  <c r="C91" i="4" s="1"/>
  <c r="D96" i="1"/>
  <c r="D91" i="4" s="1"/>
  <c r="B97" i="1"/>
  <c r="B92" i="4" s="1"/>
  <c r="C97" i="1"/>
  <c r="C92" i="4" s="1"/>
  <c r="D97" i="1"/>
  <c r="D92" i="4" s="1"/>
  <c r="B98" i="1"/>
  <c r="B93" i="4" s="1"/>
  <c r="C98" i="1"/>
  <c r="C93" i="4" s="1"/>
  <c r="D98" i="1"/>
  <c r="D93" i="4" s="1"/>
  <c r="B99" i="1"/>
  <c r="B94" i="4" s="1"/>
  <c r="C99" i="1"/>
  <c r="C94" i="4" s="1"/>
  <c r="D99" i="1"/>
  <c r="D94" i="4" s="1"/>
  <c r="B100" i="1"/>
  <c r="B95" i="4" s="1"/>
  <c r="C100" i="1"/>
  <c r="C95" i="4" s="1"/>
  <c r="D100" i="1"/>
  <c r="D95" i="4" s="1"/>
  <c r="B101" i="1"/>
  <c r="B96" i="4" s="1"/>
  <c r="C101" i="1"/>
  <c r="C96" i="4" s="1"/>
  <c r="D101" i="1"/>
  <c r="D96" i="4" s="1"/>
  <c r="B102" i="1"/>
  <c r="B97" i="4" s="1"/>
  <c r="C102" i="1"/>
  <c r="C97" i="4" s="1"/>
  <c r="D102" i="1"/>
  <c r="D97" i="4" s="1"/>
  <c r="E103" i="1"/>
  <c r="E98" i="4" s="1"/>
  <c r="B104" i="1"/>
  <c r="B99" i="4" s="1"/>
  <c r="C104" i="1"/>
  <c r="C99" i="4" s="1"/>
  <c r="D104" i="1"/>
  <c r="D99" i="4" s="1"/>
  <c r="B105" i="1"/>
  <c r="B100" i="4" s="1"/>
  <c r="C105" i="1"/>
  <c r="C100" i="4" s="1"/>
  <c r="D105" i="1"/>
  <c r="D100" i="4" s="1"/>
  <c r="B106" i="1"/>
  <c r="B101" i="4" s="1"/>
  <c r="C106" i="1"/>
  <c r="C101" i="4" s="1"/>
  <c r="D106" i="1"/>
  <c r="D101" i="4" s="1"/>
  <c r="B107" i="1"/>
  <c r="B102" i="4" s="1"/>
  <c r="C107" i="1"/>
  <c r="C102" i="4" s="1"/>
  <c r="D107" i="1"/>
  <c r="D102" i="4" s="1"/>
  <c r="B108" i="1"/>
  <c r="B103" i="4" s="1"/>
  <c r="C108" i="1"/>
  <c r="C103" i="4" s="1"/>
  <c r="D108" i="1"/>
  <c r="D103" i="4" s="1"/>
  <c r="B109" i="1"/>
  <c r="B104" i="4" s="1"/>
  <c r="C109" i="1"/>
  <c r="C104" i="4" s="1"/>
  <c r="D109" i="1"/>
  <c r="D104" i="4" s="1"/>
  <c r="B110" i="1"/>
  <c r="B105" i="4" s="1"/>
  <c r="C110" i="1"/>
  <c r="C105" i="4" s="1"/>
  <c r="D110" i="1"/>
  <c r="D105" i="4" s="1"/>
  <c r="B111" i="1"/>
  <c r="B106" i="4" s="1"/>
  <c r="C111" i="1"/>
  <c r="C106" i="4" s="1"/>
  <c r="D111" i="1"/>
  <c r="D106" i="4" s="1"/>
  <c r="B112" i="1"/>
  <c r="B107" i="4" s="1"/>
  <c r="C112" i="1"/>
  <c r="C107" i="4" s="1"/>
  <c r="D112" i="1"/>
  <c r="D107" i="4" s="1"/>
  <c r="B113" i="1"/>
  <c r="B108" i="4" s="1"/>
  <c r="C113" i="1"/>
  <c r="C108" i="4" s="1"/>
  <c r="D113" i="1"/>
  <c r="D108" i="4" s="1"/>
  <c r="B114" i="1"/>
  <c r="B109" i="4" s="1"/>
  <c r="C114" i="1"/>
  <c r="C109" i="4" s="1"/>
  <c r="D114" i="1"/>
  <c r="D109" i="4" s="1"/>
  <c r="B115" i="1"/>
  <c r="B110" i="4" s="1"/>
  <c r="C115" i="1"/>
  <c r="C110" i="4" s="1"/>
  <c r="D115" i="1"/>
  <c r="D110" i="4" s="1"/>
  <c r="B116" i="1"/>
  <c r="B111" i="4" s="1"/>
  <c r="C116" i="1"/>
  <c r="C111" i="4" s="1"/>
  <c r="D116" i="1"/>
  <c r="D111" i="4" s="1"/>
  <c r="B117" i="1"/>
  <c r="B112" i="4" s="1"/>
  <c r="C117" i="1"/>
  <c r="C112" i="4" s="1"/>
  <c r="D117" i="1"/>
  <c r="D112" i="4" s="1"/>
  <c r="B118" i="1"/>
  <c r="B113" i="4" s="1"/>
  <c r="C118" i="1"/>
  <c r="C113" i="4" s="1"/>
  <c r="D118" i="1"/>
  <c r="D113" i="4" s="1"/>
  <c r="B119" i="1"/>
  <c r="B114" i="4" s="1"/>
  <c r="C119" i="1"/>
  <c r="C114" i="4" s="1"/>
  <c r="D119" i="1"/>
  <c r="D114" i="4" s="1"/>
  <c r="B120" i="1"/>
  <c r="B115" i="4" s="1"/>
  <c r="C120" i="1"/>
  <c r="C115" i="4" s="1"/>
  <c r="D120" i="1"/>
  <c r="D115" i="4" s="1"/>
  <c r="B121" i="1"/>
  <c r="B116" i="4" s="1"/>
  <c r="C121" i="1"/>
  <c r="C116" i="4" s="1"/>
  <c r="D121" i="1"/>
  <c r="D116" i="4" s="1"/>
  <c r="B122" i="1"/>
  <c r="B117" i="4" s="1"/>
  <c r="C122" i="1"/>
  <c r="C117" i="4" s="1"/>
  <c r="D122" i="1"/>
  <c r="D117" i="4" s="1"/>
  <c r="E19" i="1"/>
  <c r="E20" i="1"/>
  <c r="E15" i="4" s="1"/>
  <c r="E21" i="1"/>
  <c r="E22" i="1"/>
  <c r="E17" i="4" s="1"/>
  <c r="E23" i="1"/>
  <c r="E24" i="1"/>
  <c r="E25" i="1"/>
  <c r="E20" i="4" s="1"/>
  <c r="E26" i="1"/>
  <c r="E21" i="4" s="1"/>
  <c r="E27" i="1"/>
  <c r="E28" i="1"/>
  <c r="E23" i="4" s="1"/>
  <c r="E29" i="1"/>
  <c r="E30" i="1"/>
  <c r="E25" i="4" s="1"/>
  <c r="E31" i="1"/>
  <c r="E26" i="4" s="1"/>
  <c r="E32" i="1"/>
  <c r="E27" i="4" s="1"/>
  <c r="E33" i="1"/>
  <c r="E28" i="4" s="1"/>
  <c r="E34" i="1"/>
  <c r="E35" i="1"/>
  <c r="E30" i="4" s="1"/>
  <c r="E36" i="1"/>
  <c r="E31" i="4" s="1"/>
  <c r="E37" i="1"/>
  <c r="E38" i="1"/>
  <c r="E39" i="1"/>
  <c r="E34" i="4" s="1"/>
  <c r="B40" i="1"/>
  <c r="B35" i="4" s="1"/>
  <c r="C40" i="1"/>
  <c r="C35" i="4" s="1"/>
  <c r="D40" i="1"/>
  <c r="D35" i="4" s="1"/>
  <c r="B41" i="1"/>
  <c r="B36" i="4" s="1"/>
  <c r="C41" i="1"/>
  <c r="C36" i="4" s="1"/>
  <c r="D41" i="1"/>
  <c r="D36" i="4" s="1"/>
  <c r="B42" i="1"/>
  <c r="B37" i="4" s="1"/>
  <c r="C42" i="1"/>
  <c r="C37" i="4" s="1"/>
  <c r="B43" i="1"/>
  <c r="B38" i="4" s="1"/>
  <c r="C43" i="1"/>
  <c r="C38" i="4" s="1"/>
  <c r="D43" i="1"/>
  <c r="D38" i="4" s="1"/>
  <c r="E44" i="1"/>
  <c r="E45" i="1"/>
  <c r="E40" i="4" s="1"/>
  <c r="E46" i="1"/>
  <c r="E47" i="1"/>
  <c r="B48" i="1"/>
  <c r="B43" i="4" s="1"/>
  <c r="C48" i="1"/>
  <c r="C43" i="4" s="1"/>
  <c r="D48" i="1"/>
  <c r="D43" i="4" s="1"/>
  <c r="B49" i="1"/>
  <c r="B44" i="4" s="1"/>
  <c r="C49" i="1"/>
  <c r="C44" i="4" s="1"/>
  <c r="D49" i="1"/>
  <c r="D44" i="4" s="1"/>
  <c r="B50" i="1"/>
  <c r="B45" i="4" s="1"/>
  <c r="C50" i="1"/>
  <c r="C45" i="4" s="1"/>
  <c r="D50" i="1"/>
  <c r="D45" i="4" s="1"/>
  <c r="B51" i="1"/>
  <c r="B46" i="4" s="1"/>
  <c r="C51" i="1"/>
  <c r="C46" i="4" s="1"/>
  <c r="D51" i="1"/>
  <c r="D46" i="4" s="1"/>
  <c r="B52" i="1"/>
  <c r="B47" i="4" s="1"/>
  <c r="C52" i="1"/>
  <c r="C47" i="4" s="1"/>
  <c r="D52" i="1"/>
  <c r="D47" i="4" s="1"/>
  <c r="B53" i="1"/>
  <c r="B48" i="4" s="1"/>
  <c r="C53" i="1"/>
  <c r="C48" i="4" s="1"/>
  <c r="D53" i="1"/>
  <c r="D48" i="4" s="1"/>
  <c r="B54" i="1"/>
  <c r="B49" i="4" s="1"/>
  <c r="C54" i="1"/>
  <c r="C49" i="4" s="1"/>
  <c r="D54" i="1"/>
  <c r="D49" i="4" s="1"/>
  <c r="B55" i="1"/>
  <c r="B50" i="4" s="1"/>
  <c r="C55" i="1"/>
  <c r="C50" i="4" s="1"/>
  <c r="D55" i="1"/>
  <c r="D50" i="4" s="1"/>
  <c r="B56" i="1"/>
  <c r="B51" i="4" s="1"/>
  <c r="C56" i="1"/>
  <c r="C51" i="4" s="1"/>
  <c r="D56" i="1"/>
  <c r="D51" i="4" s="1"/>
  <c r="B57" i="1"/>
  <c r="B52" i="4" s="1"/>
  <c r="C57" i="1"/>
  <c r="C52" i="4" s="1"/>
  <c r="D57" i="1"/>
  <c r="D52" i="4" s="1"/>
  <c r="B58" i="1"/>
  <c r="B53" i="4" s="1"/>
  <c r="C58" i="1"/>
  <c r="C53" i="4" s="1"/>
  <c r="D58" i="1"/>
  <c r="D53" i="4" s="1"/>
  <c r="B59" i="1"/>
  <c r="B54" i="4" s="1"/>
  <c r="C59" i="1"/>
  <c r="C54" i="4" s="1"/>
  <c r="D59" i="1"/>
  <c r="D54" i="4" s="1"/>
  <c r="B60" i="1"/>
  <c r="B55" i="4" s="1"/>
  <c r="C60" i="1"/>
  <c r="C55" i="4" s="1"/>
  <c r="D60" i="1"/>
  <c r="D55" i="4" s="1"/>
  <c r="B61" i="1"/>
  <c r="B56" i="4" s="1"/>
  <c r="C61" i="1"/>
  <c r="C56" i="4" s="1"/>
  <c r="D61" i="1"/>
  <c r="D56" i="4" s="1"/>
  <c r="B62" i="1"/>
  <c r="B57" i="4" s="1"/>
  <c r="C62" i="1"/>
  <c r="C57" i="4" s="1"/>
  <c r="D62" i="1"/>
  <c r="D57" i="4" s="1"/>
  <c r="B63" i="1"/>
  <c r="B58" i="4" s="1"/>
  <c r="C63" i="1"/>
  <c r="C58" i="4" s="1"/>
  <c r="D63" i="1"/>
  <c r="D58" i="4" s="1"/>
  <c r="B64" i="1"/>
  <c r="B59" i="4" s="1"/>
  <c r="C64" i="1"/>
  <c r="C59" i="4" s="1"/>
  <c r="D64" i="1"/>
  <c r="D59" i="4" s="1"/>
  <c r="B65" i="1"/>
  <c r="B60" i="4" s="1"/>
  <c r="C65" i="1"/>
  <c r="C60" i="4" s="1"/>
  <c r="D65" i="1"/>
  <c r="D60" i="4" s="1"/>
  <c r="B66" i="1"/>
  <c r="B61" i="4" s="1"/>
  <c r="C66" i="1"/>
  <c r="C61" i="4" s="1"/>
  <c r="D66" i="1"/>
  <c r="D61" i="4" s="1"/>
  <c r="B67" i="1"/>
  <c r="B62" i="4" s="1"/>
  <c r="C67" i="1"/>
  <c r="C62" i="4" s="1"/>
  <c r="D67" i="1"/>
  <c r="D62" i="4" s="1"/>
  <c r="B68" i="1"/>
  <c r="B63" i="4" s="1"/>
  <c r="C68" i="1"/>
  <c r="C63" i="4" s="1"/>
  <c r="D68" i="1"/>
  <c r="D63" i="4" s="1"/>
  <c r="B69" i="1"/>
  <c r="B64" i="4" s="1"/>
  <c r="C69" i="1"/>
  <c r="C64" i="4" s="1"/>
  <c r="D69" i="1"/>
  <c r="D64" i="4" s="1"/>
  <c r="B70" i="1"/>
  <c r="B65" i="4" s="1"/>
  <c r="C70" i="1"/>
  <c r="C65" i="4" s="1"/>
  <c r="D70" i="1"/>
  <c r="D65" i="4" s="1"/>
  <c r="B123" i="1"/>
  <c r="B118" i="4" s="1"/>
  <c r="C123" i="1"/>
  <c r="C118" i="4" s="1"/>
  <c r="D123" i="1"/>
  <c r="D118" i="4" s="1"/>
  <c r="B124" i="1"/>
  <c r="B119" i="4" s="1"/>
  <c r="C124" i="1"/>
  <c r="C119" i="4" s="1"/>
  <c r="D124" i="1"/>
  <c r="D119" i="4" s="1"/>
  <c r="B125" i="1"/>
  <c r="B120" i="4" s="1"/>
  <c r="C125" i="1"/>
  <c r="C120" i="4" s="1"/>
  <c r="D125" i="1"/>
  <c r="D120" i="4" s="1"/>
  <c r="E126" i="1"/>
  <c r="E121" i="4" s="1"/>
  <c r="B127" i="1"/>
  <c r="B122" i="4" s="1"/>
  <c r="C127" i="1"/>
  <c r="C122" i="4" s="1"/>
  <c r="D127" i="1"/>
  <c r="D122" i="4" s="1"/>
  <c r="B128" i="1"/>
  <c r="B123" i="4" s="1"/>
  <c r="C128" i="1"/>
  <c r="C123" i="4" s="1"/>
  <c r="D128" i="1"/>
  <c r="D123" i="4" s="1"/>
  <c r="B129" i="1"/>
  <c r="B124" i="4" s="1"/>
  <c r="C129" i="1"/>
  <c r="C124" i="4" s="1"/>
  <c r="D129" i="1"/>
  <c r="D124" i="4" s="1"/>
  <c r="B130" i="1"/>
  <c r="B125" i="4" s="1"/>
  <c r="C130" i="1"/>
  <c r="C125" i="4" s="1"/>
  <c r="D130" i="1"/>
  <c r="D125" i="4" s="1"/>
  <c r="B131" i="1"/>
  <c r="B126" i="4" s="1"/>
  <c r="C131" i="1"/>
  <c r="C126" i="4" s="1"/>
  <c r="D131" i="1"/>
  <c r="D126" i="4" s="1"/>
  <c r="H132" i="1"/>
  <c r="H127" i="4" s="1"/>
  <c r="K132" i="1"/>
  <c r="K127" i="4" s="1"/>
  <c r="H131" i="1"/>
  <c r="H126" i="4" s="1"/>
  <c r="K131" i="1"/>
  <c r="K126" i="4" s="1"/>
  <c r="H130" i="1"/>
  <c r="H125" i="4" s="1"/>
  <c r="K130" i="1"/>
  <c r="K125" i="4" s="1"/>
  <c r="H129" i="1"/>
  <c r="H124" i="4" s="1"/>
  <c r="K129" i="1"/>
  <c r="K124" i="4" s="1"/>
  <c r="H128" i="1"/>
  <c r="H123" i="4" s="1"/>
  <c r="K128" i="1"/>
  <c r="K123" i="4" s="1"/>
  <c r="H127" i="1"/>
  <c r="H122" i="4" s="1"/>
  <c r="K127" i="1"/>
  <c r="K122" i="4" s="1"/>
  <c r="H126" i="1"/>
  <c r="H121" i="4" s="1"/>
  <c r="K126" i="1"/>
  <c r="K121" i="4" s="1"/>
  <c r="H125" i="1"/>
  <c r="H120" i="4" s="1"/>
  <c r="K125" i="1"/>
  <c r="K120" i="4" s="1"/>
  <c r="H124" i="1"/>
  <c r="H119" i="4" s="1"/>
  <c r="K124" i="1"/>
  <c r="K119" i="4" s="1"/>
  <c r="H123" i="1"/>
  <c r="H118" i="4" s="1"/>
  <c r="K123" i="1"/>
  <c r="K118" i="4" s="1"/>
  <c r="H122" i="1"/>
  <c r="H117" i="4" s="1"/>
  <c r="K122" i="1"/>
  <c r="K117" i="4" s="1"/>
  <c r="H121" i="1"/>
  <c r="H116" i="4" s="1"/>
  <c r="K121" i="1"/>
  <c r="K116" i="4" s="1"/>
  <c r="H120" i="1"/>
  <c r="H115" i="4" s="1"/>
  <c r="K120" i="1"/>
  <c r="K115" i="4" s="1"/>
  <c r="H119" i="1"/>
  <c r="H114" i="4" s="1"/>
  <c r="K119" i="1"/>
  <c r="K114" i="4" s="1"/>
  <c r="H118" i="1"/>
  <c r="H113" i="4" s="1"/>
  <c r="K118" i="1"/>
  <c r="K113" i="4" s="1"/>
  <c r="H117" i="1"/>
  <c r="H112" i="4" s="1"/>
  <c r="K117" i="1"/>
  <c r="K112" i="4" s="1"/>
  <c r="H116" i="1"/>
  <c r="H111" i="4" s="1"/>
  <c r="K116" i="1"/>
  <c r="K111" i="4" s="1"/>
  <c r="H115" i="1"/>
  <c r="H110" i="4" s="1"/>
  <c r="K115" i="1"/>
  <c r="K110" i="4" s="1"/>
  <c r="H114" i="1"/>
  <c r="H109" i="4" s="1"/>
  <c r="K114" i="1"/>
  <c r="K109" i="4" s="1"/>
  <c r="H113" i="1"/>
  <c r="H108" i="4" s="1"/>
  <c r="K113" i="1"/>
  <c r="K108" i="4" s="1"/>
  <c r="H112" i="1"/>
  <c r="H107" i="4" s="1"/>
  <c r="K112" i="1"/>
  <c r="K107" i="4" s="1"/>
  <c r="H111" i="1"/>
  <c r="H106" i="4" s="1"/>
  <c r="K111" i="1"/>
  <c r="K106" i="4" s="1"/>
  <c r="H110" i="1"/>
  <c r="H105" i="4" s="1"/>
  <c r="K110" i="1"/>
  <c r="K105" i="4" s="1"/>
  <c r="H109" i="1"/>
  <c r="H104" i="4" s="1"/>
  <c r="K109" i="1"/>
  <c r="K104" i="4" s="1"/>
  <c r="H108" i="1"/>
  <c r="H103" i="4" s="1"/>
  <c r="K108" i="1"/>
  <c r="K103" i="4" s="1"/>
  <c r="H107" i="1"/>
  <c r="H102" i="4" s="1"/>
  <c r="K107" i="1"/>
  <c r="K102" i="4" s="1"/>
  <c r="H106" i="1"/>
  <c r="H101" i="4" s="1"/>
  <c r="K106" i="1"/>
  <c r="K101" i="4" s="1"/>
  <c r="H105" i="1"/>
  <c r="H100" i="4" s="1"/>
  <c r="K105" i="1"/>
  <c r="K100" i="4" s="1"/>
  <c r="H104" i="1"/>
  <c r="H99" i="4" s="1"/>
  <c r="K104" i="1"/>
  <c r="K99" i="4" s="1"/>
  <c r="K103" i="1"/>
  <c r="K98" i="4" s="1"/>
  <c r="H103" i="1"/>
  <c r="H98" i="4" s="1"/>
  <c r="G103" i="1"/>
  <c r="G98" i="4" s="1"/>
  <c r="H102" i="1"/>
  <c r="H97" i="4" s="1"/>
  <c r="K102" i="1"/>
  <c r="K97" i="4" s="1"/>
  <c r="H101" i="1"/>
  <c r="H96" i="4" s="1"/>
  <c r="K101" i="1"/>
  <c r="K96" i="4" s="1"/>
  <c r="H100" i="1"/>
  <c r="H95" i="4" s="1"/>
  <c r="K100" i="1"/>
  <c r="K95" i="4" s="1"/>
  <c r="H99" i="1"/>
  <c r="H94" i="4" s="1"/>
  <c r="K99" i="1"/>
  <c r="K94" i="4" s="1"/>
  <c r="H98" i="1"/>
  <c r="H93" i="4" s="1"/>
  <c r="K98" i="1"/>
  <c r="K93" i="4" s="1"/>
  <c r="H97" i="1"/>
  <c r="H92" i="4" s="1"/>
  <c r="K97" i="1"/>
  <c r="K92" i="4" s="1"/>
  <c r="H96" i="1"/>
  <c r="H91" i="4" s="1"/>
  <c r="K96" i="1"/>
  <c r="K91" i="4" s="1"/>
  <c r="H95" i="1"/>
  <c r="H90" i="4" s="1"/>
  <c r="K95" i="1"/>
  <c r="K90" i="4" s="1"/>
  <c r="H94" i="1"/>
  <c r="H89" i="4" s="1"/>
  <c r="K94" i="1"/>
  <c r="K89" i="4" s="1"/>
  <c r="H93" i="1"/>
  <c r="H88" i="4" s="1"/>
  <c r="K93" i="1"/>
  <c r="K88" i="4" s="1"/>
  <c r="H92" i="1"/>
  <c r="H87" i="4" s="1"/>
  <c r="K92" i="1"/>
  <c r="K87" i="4" s="1"/>
  <c r="H91" i="1"/>
  <c r="H86" i="4" s="1"/>
  <c r="K91" i="1"/>
  <c r="K86" i="4" s="1"/>
  <c r="K90" i="1"/>
  <c r="K85" i="4" s="1"/>
  <c r="H88" i="1"/>
  <c r="H83" i="4" s="1"/>
  <c r="K88" i="1"/>
  <c r="K83" i="4" s="1"/>
  <c r="H87" i="1"/>
  <c r="H82" i="4" s="1"/>
  <c r="K87" i="1"/>
  <c r="K82" i="4" s="1"/>
  <c r="H86" i="1"/>
  <c r="H81" i="4" s="1"/>
  <c r="K86" i="1"/>
  <c r="K81" i="4" s="1"/>
  <c r="H85" i="1"/>
  <c r="H80" i="4" s="1"/>
  <c r="K85" i="1"/>
  <c r="K80" i="4" s="1"/>
  <c r="H84" i="1"/>
  <c r="H79" i="4" s="1"/>
  <c r="K84" i="1"/>
  <c r="K79" i="4" s="1"/>
  <c r="H83" i="1"/>
  <c r="H78" i="4" s="1"/>
  <c r="K83" i="1"/>
  <c r="K78" i="4" s="1"/>
  <c r="H82" i="1"/>
  <c r="H77" i="4" s="1"/>
  <c r="K82" i="1"/>
  <c r="K77" i="4" s="1"/>
  <c r="H81" i="1"/>
  <c r="H76" i="4" s="1"/>
  <c r="K81" i="1"/>
  <c r="K76" i="4" s="1"/>
  <c r="H80" i="1"/>
  <c r="H75" i="4" s="1"/>
  <c r="K80" i="1"/>
  <c r="K75" i="4" s="1"/>
  <c r="H79" i="1"/>
  <c r="H74" i="4" s="1"/>
  <c r="K79" i="1"/>
  <c r="K74" i="4" s="1"/>
  <c r="H78" i="1"/>
  <c r="H73" i="4" s="1"/>
  <c r="K78" i="1"/>
  <c r="K73" i="4" s="1"/>
  <c r="H77" i="1"/>
  <c r="H72" i="4" s="1"/>
  <c r="K77" i="1"/>
  <c r="K72" i="4" s="1"/>
  <c r="H76" i="1"/>
  <c r="H71" i="4" s="1"/>
  <c r="K76" i="1"/>
  <c r="K71" i="4" s="1"/>
  <c r="H75" i="1"/>
  <c r="H70" i="4" s="1"/>
  <c r="K75" i="1"/>
  <c r="K70" i="4" s="1"/>
  <c r="H74" i="1"/>
  <c r="H69" i="4" s="1"/>
  <c r="K74" i="1"/>
  <c r="K69" i="4" s="1"/>
  <c r="H73" i="1"/>
  <c r="H68" i="4" s="1"/>
  <c r="K73" i="1"/>
  <c r="K68" i="4" s="1"/>
  <c r="H72" i="1"/>
  <c r="H67" i="4" s="1"/>
  <c r="K72" i="1"/>
  <c r="K67" i="4" s="1"/>
  <c r="H71" i="1"/>
  <c r="H66" i="4" s="1"/>
  <c r="K71" i="1"/>
  <c r="K66" i="4" s="1"/>
  <c r="K60" i="1"/>
  <c r="K55" i="4" s="1"/>
  <c r="K61" i="1"/>
  <c r="K56" i="4" s="1"/>
  <c r="K62" i="1"/>
  <c r="K57" i="4" s="1"/>
  <c r="K63" i="1"/>
  <c r="K58" i="4" s="1"/>
  <c r="K64" i="1"/>
  <c r="K59" i="4" s="1"/>
  <c r="K65" i="1"/>
  <c r="K60" i="4" s="1"/>
  <c r="K66" i="1"/>
  <c r="K61" i="4" s="1"/>
  <c r="K67" i="1"/>
  <c r="K62" i="4" s="1"/>
  <c r="K68" i="1"/>
  <c r="K63" i="4" s="1"/>
  <c r="K69" i="1"/>
  <c r="K64" i="4" s="1"/>
  <c r="K70" i="1"/>
  <c r="K65" i="4" s="1"/>
  <c r="K59" i="1"/>
  <c r="K54" i="4" s="1"/>
  <c r="H70" i="1"/>
  <c r="H65" i="4" s="1"/>
  <c r="H69" i="1"/>
  <c r="H64" i="4" s="1"/>
  <c r="H68" i="1"/>
  <c r="H63" i="4" s="1"/>
  <c r="H67" i="1"/>
  <c r="H62" i="4" s="1"/>
  <c r="H66" i="1"/>
  <c r="H61" i="4" s="1"/>
  <c r="H65" i="1"/>
  <c r="H60" i="4" s="1"/>
  <c r="H64" i="1"/>
  <c r="H59" i="4" s="1"/>
  <c r="H63" i="1"/>
  <c r="H58" i="4" s="1"/>
  <c r="H62" i="1"/>
  <c r="H57" i="4" s="1"/>
  <c r="H61" i="1"/>
  <c r="H56" i="4" s="1"/>
  <c r="H60" i="1"/>
  <c r="H55" i="4" s="1"/>
  <c r="H59" i="1"/>
  <c r="H54" i="4" s="1"/>
  <c r="H58" i="1"/>
  <c r="H53" i="4" s="1"/>
  <c r="H57" i="1"/>
  <c r="H52" i="4" s="1"/>
  <c r="H56" i="1"/>
  <c r="H51" i="4" s="1"/>
  <c r="H55" i="1"/>
  <c r="H50" i="4" s="1"/>
  <c r="H54" i="1"/>
  <c r="H49" i="4" s="1"/>
  <c r="H53" i="1"/>
  <c r="H48" i="4" s="1"/>
  <c r="H52" i="1"/>
  <c r="H47" i="4" s="1"/>
  <c r="H51" i="1"/>
  <c r="H46" i="4" s="1"/>
  <c r="H50" i="1"/>
  <c r="H45" i="4" s="1"/>
  <c r="H49" i="1"/>
  <c r="H44" i="4" s="1"/>
  <c r="H48" i="1"/>
  <c r="H43" i="4" s="1"/>
  <c r="H47" i="1"/>
  <c r="H42" i="4" s="1"/>
  <c r="H46" i="1"/>
  <c r="H41" i="4" s="1"/>
  <c r="H45" i="1"/>
  <c r="H40" i="4" s="1"/>
  <c r="H44" i="1"/>
  <c r="H39" i="4" s="1"/>
  <c r="H43" i="1"/>
  <c r="H38" i="4" s="1"/>
  <c r="H42" i="1"/>
  <c r="H37" i="4" s="1"/>
  <c r="H41" i="1"/>
  <c r="H36" i="4" s="1"/>
  <c r="H40" i="1"/>
  <c r="H35" i="4" s="1"/>
  <c r="H39" i="1"/>
  <c r="H34" i="4" s="1"/>
  <c r="G39" i="1"/>
  <c r="G34" i="4" s="1"/>
  <c r="H38" i="1"/>
  <c r="H33" i="4" s="1"/>
  <c r="H37" i="1"/>
  <c r="H32" i="4" s="1"/>
  <c r="H36" i="1"/>
  <c r="H31" i="4" s="1"/>
  <c r="H35" i="1"/>
  <c r="H30" i="4" s="1"/>
  <c r="H34" i="1"/>
  <c r="H29" i="4" s="1"/>
  <c r="H8" i="1"/>
  <c r="H3" i="4" s="1"/>
  <c r="H9" i="1"/>
  <c r="H4" i="4" s="1"/>
  <c r="H10" i="1"/>
  <c r="H5" i="4" s="1"/>
  <c r="H11" i="1"/>
  <c r="H6" i="4" s="1"/>
  <c r="H12" i="1"/>
  <c r="H7" i="4" s="1"/>
  <c r="H13" i="1"/>
  <c r="H8" i="4" s="1"/>
  <c r="H14" i="1"/>
  <c r="H9" i="4" s="1"/>
  <c r="H15" i="1"/>
  <c r="H10" i="4" s="1"/>
  <c r="H16" i="1"/>
  <c r="H11" i="4" s="1"/>
  <c r="H17" i="1"/>
  <c r="H12" i="4" s="1"/>
  <c r="H18" i="1"/>
  <c r="H13" i="4" s="1"/>
  <c r="H19" i="1"/>
  <c r="H14" i="4" s="1"/>
  <c r="H20" i="1"/>
  <c r="H15" i="4" s="1"/>
  <c r="H21" i="1"/>
  <c r="H16" i="4" s="1"/>
  <c r="H22" i="1"/>
  <c r="H17" i="4" s="1"/>
  <c r="H23" i="1"/>
  <c r="H18" i="4" s="1"/>
  <c r="H24" i="1"/>
  <c r="H19" i="4" s="1"/>
  <c r="H25" i="1"/>
  <c r="H20" i="4" s="1"/>
  <c r="H26" i="1"/>
  <c r="H21" i="4" s="1"/>
  <c r="H27" i="1"/>
  <c r="H22" i="4" s="1"/>
  <c r="H28" i="1"/>
  <c r="H23" i="4" s="1"/>
  <c r="H29" i="1"/>
  <c r="H24" i="4" s="1"/>
  <c r="H30" i="1"/>
  <c r="H25" i="4" s="1"/>
  <c r="H31" i="1"/>
  <c r="H26" i="4" s="1"/>
  <c r="H32" i="1"/>
  <c r="H27" i="4" s="1"/>
  <c r="H33" i="1"/>
  <c r="H28" i="4" s="1"/>
  <c r="E8" i="1"/>
  <c r="E7" i="1"/>
  <c r="E2" i="4" s="1"/>
  <c r="E9" i="1"/>
  <c r="E4" i="4" s="1"/>
  <c r="E10" i="1"/>
  <c r="E5" i="4" s="1"/>
  <c r="E11" i="1"/>
  <c r="E6" i="4" s="1"/>
  <c r="E12" i="1"/>
  <c r="E7" i="4" s="1"/>
  <c r="E13" i="1"/>
  <c r="E8" i="4" s="1"/>
  <c r="E14" i="1"/>
  <c r="E9" i="4" s="1"/>
  <c r="E15" i="1"/>
  <c r="E10" i="4" s="1"/>
  <c r="E16" i="1"/>
  <c r="E11" i="4" s="1"/>
  <c r="E17" i="1"/>
  <c r="E12" i="4" s="1"/>
  <c r="E18" i="1"/>
  <c r="E13" i="4" s="1"/>
  <c r="G31" i="1"/>
  <c r="G26" i="4" s="1"/>
  <c r="A11" i="1"/>
  <c r="G17" i="1" l="1"/>
  <c r="G12" i="4" s="1"/>
  <c r="G38" i="1"/>
  <c r="G33" i="4" s="1"/>
  <c r="E33" i="4"/>
  <c r="A12" i="1"/>
  <c r="A6" i="4"/>
  <c r="G46" i="1"/>
  <c r="G41" i="4" s="1"/>
  <c r="E41" i="4"/>
  <c r="G37" i="1"/>
  <c r="G32" i="4" s="1"/>
  <c r="E32" i="4"/>
  <c r="G29" i="1"/>
  <c r="G24" i="4" s="1"/>
  <c r="E24" i="4"/>
  <c r="G21" i="1"/>
  <c r="G16" i="4" s="1"/>
  <c r="E16" i="4"/>
  <c r="H90" i="1"/>
  <c r="H85" i="4" s="1"/>
  <c r="F84" i="4"/>
  <c r="G225" i="1"/>
  <c r="G220" i="4" s="1"/>
  <c r="E220" i="4"/>
  <c r="G47" i="1"/>
  <c r="G42" i="4" s="1"/>
  <c r="E42" i="4"/>
  <c r="G34" i="1"/>
  <c r="G29" i="4" s="1"/>
  <c r="E29" i="4"/>
  <c r="G222" i="1"/>
  <c r="G217" i="4" s="1"/>
  <c r="E217" i="4"/>
  <c r="G24" i="1"/>
  <c r="G19" i="4" s="1"/>
  <c r="E19" i="4"/>
  <c r="J229" i="1"/>
  <c r="J224" i="4" s="1"/>
  <c r="E223" i="4"/>
  <c r="G224" i="1"/>
  <c r="G219" i="4" s="1"/>
  <c r="E219" i="4"/>
  <c r="G26" i="1"/>
  <c r="G21" i="4" s="1"/>
  <c r="G8" i="1"/>
  <c r="G3" i="4" s="1"/>
  <c r="E3" i="4"/>
  <c r="G44" i="1"/>
  <c r="G39" i="4" s="1"/>
  <c r="E39" i="4"/>
  <c r="G27" i="1"/>
  <c r="G22" i="4" s="1"/>
  <c r="E22" i="4"/>
  <c r="G23" i="1"/>
  <c r="G18" i="4" s="1"/>
  <c r="E18" i="4"/>
  <c r="G19" i="1"/>
  <c r="G14" i="4" s="1"/>
  <c r="E14" i="4"/>
  <c r="G227" i="1"/>
  <c r="G222" i="4" s="1"/>
  <c r="E222" i="4"/>
  <c r="G223" i="1"/>
  <c r="G218" i="4" s="1"/>
  <c r="E218" i="4"/>
  <c r="A519" i="1"/>
  <c r="A513" i="4"/>
  <c r="I22" i="1"/>
  <c r="I17" i="4" s="1"/>
  <c r="J36" i="1"/>
  <c r="J31" i="4" s="1"/>
  <c r="G35" i="1"/>
  <c r="G30" i="4" s="1"/>
  <c r="E195" i="1"/>
  <c r="E190" i="4" s="1"/>
  <c r="E211" i="1"/>
  <c r="E206" i="4" s="1"/>
  <c r="E219" i="1"/>
  <c r="E214" i="4" s="1"/>
  <c r="I35" i="1"/>
  <c r="I30" i="4" s="1"/>
  <c r="I27" i="1"/>
  <c r="I22" i="4" s="1"/>
  <c r="E220" i="1"/>
  <c r="E198" i="1"/>
  <c r="E193" i="4" s="1"/>
  <c r="E206" i="1"/>
  <c r="E214" i="1"/>
  <c r="I45" i="1"/>
  <c r="I40" i="4" s="1"/>
  <c r="J226" i="1"/>
  <c r="J221" i="4" s="1"/>
  <c r="I13" i="1"/>
  <c r="I8" i="4" s="1"/>
  <c r="J38" i="1"/>
  <c r="J33" i="4" s="1"/>
  <c r="J37" i="1"/>
  <c r="J32" i="4" s="1"/>
  <c r="J32" i="1"/>
  <c r="J27" i="4" s="1"/>
  <c r="J31" i="1"/>
  <c r="J26" i="4" s="1"/>
  <c r="I28" i="1"/>
  <c r="I23" i="4" s="1"/>
  <c r="I23" i="1"/>
  <c r="I18" i="4" s="1"/>
  <c r="I20" i="1"/>
  <c r="I15" i="4" s="1"/>
  <c r="I34" i="1"/>
  <c r="I29" i="4" s="1"/>
  <c r="J27" i="1"/>
  <c r="J22" i="4" s="1"/>
  <c r="J25" i="1"/>
  <c r="J20" i="4" s="1"/>
  <c r="I222" i="1"/>
  <c r="I217" i="4" s="1"/>
  <c r="G30" i="1"/>
  <c r="G25" i="4" s="1"/>
  <c r="G20" i="1"/>
  <c r="G15" i="4" s="1"/>
  <c r="G28" i="1"/>
  <c r="G23" i="4" s="1"/>
  <c r="I30" i="1"/>
  <c r="I25" i="4" s="1"/>
  <c r="E149" i="1"/>
  <c r="E154" i="1"/>
  <c r="I225" i="1"/>
  <c r="I220" i="4" s="1"/>
  <c r="G221" i="1"/>
  <c r="G216" i="4" s="1"/>
  <c r="I29" i="1"/>
  <c r="I24" i="4" s="1"/>
  <c r="G36" i="1"/>
  <c r="G31" i="4" s="1"/>
  <c r="E143" i="1"/>
  <c r="E138" i="4" s="1"/>
  <c r="E175" i="1"/>
  <c r="E199" i="1"/>
  <c r="E207" i="1"/>
  <c r="E215" i="1"/>
  <c r="G226" i="1"/>
  <c r="G221" i="4" s="1"/>
  <c r="E196" i="1"/>
  <c r="E212" i="1"/>
  <c r="E207" i="4" s="1"/>
  <c r="G22" i="1"/>
  <c r="G17" i="4" s="1"/>
  <c r="I21" i="1"/>
  <c r="I16" i="4" s="1"/>
  <c r="J222" i="1"/>
  <c r="J217" i="4" s="1"/>
  <c r="E194" i="1"/>
  <c r="E210" i="1"/>
  <c r="J223" i="1"/>
  <c r="J218" i="4" s="1"/>
  <c r="K141" i="1"/>
  <c r="K136" i="4" s="1"/>
  <c r="J12" i="1"/>
  <c r="J7" i="4" s="1"/>
  <c r="J39" i="1"/>
  <c r="J34" i="4" s="1"/>
  <c r="E42" i="1"/>
  <c r="I39" i="1"/>
  <c r="I34" i="4" s="1"/>
  <c r="I32" i="1"/>
  <c r="I27" i="4" s="1"/>
  <c r="J23" i="1"/>
  <c r="J18" i="4" s="1"/>
  <c r="E145" i="1"/>
  <c r="E156" i="1"/>
  <c r="I223" i="1"/>
  <c r="I218" i="4" s="1"/>
  <c r="I228" i="1"/>
  <c r="I223" i="4" s="1"/>
  <c r="J34" i="1"/>
  <c r="J29" i="4" s="1"/>
  <c r="E209" i="1"/>
  <c r="J228" i="1"/>
  <c r="J223" i="4" s="1"/>
  <c r="I26" i="1"/>
  <c r="I21" i="4" s="1"/>
  <c r="J17" i="1"/>
  <c r="J12" i="4" s="1"/>
  <c r="I9" i="1"/>
  <c r="I4" i="4" s="1"/>
  <c r="I47" i="1"/>
  <c r="I42" i="4" s="1"/>
  <c r="K89" i="1"/>
  <c r="K84" i="4" s="1"/>
  <c r="I38" i="1"/>
  <c r="I33" i="4" s="1"/>
  <c r="J29" i="1"/>
  <c r="J24" i="4" s="1"/>
  <c r="J21" i="1"/>
  <c r="J16" i="4" s="1"/>
  <c r="I229" i="1"/>
  <c r="I224" i="4" s="1"/>
  <c r="I33" i="1"/>
  <c r="I28" i="4" s="1"/>
  <c r="I36" i="1"/>
  <c r="I31" i="4" s="1"/>
  <c r="J20" i="1"/>
  <c r="J15" i="4" s="1"/>
  <c r="E152" i="1"/>
  <c r="J225" i="1"/>
  <c r="J220" i="4" s="1"/>
  <c r="I25" i="1"/>
  <c r="I20" i="4" s="1"/>
  <c r="H89" i="1"/>
  <c r="H84" i="4" s="1"/>
  <c r="G33" i="1"/>
  <c r="G28" i="4" s="1"/>
  <c r="G25" i="1"/>
  <c r="G20" i="4" s="1"/>
  <c r="I24" i="1"/>
  <c r="I19" i="4" s="1"/>
  <c r="G32" i="1"/>
  <c r="G27" i="4" s="1"/>
  <c r="E136" i="1"/>
  <c r="E173" i="1"/>
  <c r="E200" i="1"/>
  <c r="E213" i="1"/>
  <c r="I16" i="1"/>
  <c r="I11" i="4" s="1"/>
  <c r="E159" i="1"/>
  <c r="E165" i="1"/>
  <c r="E169" i="1"/>
  <c r="E164" i="4" s="1"/>
  <c r="E171" i="1"/>
  <c r="E158" i="1"/>
  <c r="G9" i="1"/>
  <c r="G4" i="4" s="1"/>
  <c r="G16" i="1"/>
  <c r="G11" i="4" s="1"/>
  <c r="I17" i="1"/>
  <c r="I12" i="4" s="1"/>
  <c r="J15" i="1"/>
  <c r="J10" i="4" s="1"/>
  <c r="J13" i="1"/>
  <c r="J8" i="4" s="1"/>
  <c r="I12" i="1"/>
  <c r="I7" i="4" s="1"/>
  <c r="I10" i="1"/>
  <c r="I5" i="4" s="1"/>
  <c r="I8" i="1"/>
  <c r="I3" i="4" s="1"/>
  <c r="I46" i="1"/>
  <c r="I41" i="4" s="1"/>
  <c r="E139" i="1"/>
  <c r="E142" i="1"/>
  <c r="E161" i="1"/>
  <c r="E163" i="1"/>
  <c r="E168" i="1"/>
  <c r="I227" i="1"/>
  <c r="I222" i="4" s="1"/>
  <c r="J224" i="1"/>
  <c r="J219" i="4" s="1"/>
  <c r="E132" i="1"/>
  <c r="J16" i="1"/>
  <c r="J11" i="4" s="1"/>
  <c r="G13" i="1"/>
  <c r="G8" i="4" s="1"/>
  <c r="G12" i="1"/>
  <c r="G7" i="4" s="1"/>
  <c r="I31" i="1"/>
  <c r="I26" i="4" s="1"/>
  <c r="J33" i="1"/>
  <c r="J28" i="4" s="1"/>
  <c r="J30" i="1"/>
  <c r="J25" i="4" s="1"/>
  <c r="J28" i="1"/>
  <c r="J23" i="4" s="1"/>
  <c r="J26" i="1"/>
  <c r="J21" i="4" s="1"/>
  <c r="J24" i="1"/>
  <c r="J19" i="4" s="1"/>
  <c r="J22" i="1"/>
  <c r="J17" i="4" s="1"/>
  <c r="I18" i="1"/>
  <c r="I13" i="4" s="1"/>
  <c r="I14" i="1"/>
  <c r="I9" i="4" s="1"/>
  <c r="J9" i="1"/>
  <c r="J4" i="4" s="1"/>
  <c r="J35" i="1"/>
  <c r="J30" i="4" s="1"/>
  <c r="I37" i="1"/>
  <c r="I32" i="4" s="1"/>
  <c r="E138" i="1"/>
  <c r="E141" i="1"/>
  <c r="E136" i="4" s="1"/>
  <c r="E146" i="1"/>
  <c r="E141" i="4" s="1"/>
  <c r="E148" i="1"/>
  <c r="E143" i="4" s="1"/>
  <c r="E151" i="1"/>
  <c r="E146" i="4" s="1"/>
  <c r="E162" i="1"/>
  <c r="E157" i="4" s="1"/>
  <c r="E164" i="1"/>
  <c r="E159" i="4" s="1"/>
  <c r="E167" i="1"/>
  <c r="E162" i="4" s="1"/>
  <c r="E172" i="1"/>
  <c r="E167" i="4" s="1"/>
  <c r="E178" i="1"/>
  <c r="E173" i="4" s="1"/>
  <c r="E180" i="1"/>
  <c r="E182" i="1"/>
  <c r="E177" i="4" s="1"/>
  <c r="E184" i="1"/>
  <c r="E179" i="4" s="1"/>
  <c r="E185" i="1"/>
  <c r="E187" i="1"/>
  <c r="E189" i="1"/>
  <c r="E191" i="1"/>
  <c r="E192" i="1"/>
  <c r="E193" i="1"/>
  <c r="E201" i="1"/>
  <c r="E202" i="1"/>
  <c r="E197" i="4" s="1"/>
  <c r="E203" i="1"/>
  <c r="E204" i="1"/>
  <c r="E205" i="1"/>
  <c r="E208" i="1"/>
  <c r="E216" i="1"/>
  <c r="E217" i="1"/>
  <c r="E212" i="4" s="1"/>
  <c r="E218" i="1"/>
  <c r="E213" i="4" s="1"/>
  <c r="I226" i="1"/>
  <c r="I221" i="4" s="1"/>
  <c r="I224" i="1"/>
  <c r="I219" i="4" s="1"/>
  <c r="G228" i="1"/>
  <c r="G223" i="4" s="1"/>
  <c r="J227" i="1"/>
  <c r="J222" i="4" s="1"/>
  <c r="G195" i="1"/>
  <c r="G190" i="4" s="1"/>
  <c r="J11" i="1"/>
  <c r="J6" i="4" s="1"/>
  <c r="I19" i="1"/>
  <c r="I14" i="4" s="1"/>
  <c r="I15" i="1"/>
  <c r="I10" i="4" s="1"/>
  <c r="I11" i="1"/>
  <c r="I6" i="4" s="1"/>
  <c r="J8" i="1"/>
  <c r="J3" i="4" s="1"/>
  <c r="E197" i="1"/>
  <c r="E192" i="4" s="1"/>
  <c r="J47" i="1"/>
  <c r="J42" i="4" s="1"/>
  <c r="J46" i="1"/>
  <c r="J41" i="4" s="1"/>
  <c r="L245" i="1"/>
  <c r="L240" i="4" s="1"/>
  <c r="L193" i="1"/>
  <c r="L188" i="4" s="1"/>
  <c r="E130" i="1"/>
  <c r="E128" i="1"/>
  <c r="E70" i="1"/>
  <c r="E68" i="1"/>
  <c r="E66" i="1"/>
  <c r="E64" i="1"/>
  <c r="E62" i="1"/>
  <c r="E60" i="1"/>
  <c r="E58" i="1"/>
  <c r="E56" i="1"/>
  <c r="E54" i="1"/>
  <c r="E52" i="1"/>
  <c r="E50" i="1"/>
  <c r="E48" i="1"/>
  <c r="E43" i="4" s="1"/>
  <c r="E101" i="1"/>
  <c r="E99" i="1"/>
  <c r="E97" i="1"/>
  <c r="E95" i="1"/>
  <c r="E93" i="1"/>
  <c r="E91" i="1"/>
  <c r="E89" i="1"/>
  <c r="E87" i="1"/>
  <c r="E85" i="1"/>
  <c r="E83" i="1"/>
  <c r="E81" i="1"/>
  <c r="E79" i="1"/>
  <c r="E74" i="4" s="1"/>
  <c r="E78" i="1"/>
  <c r="E134" i="1"/>
  <c r="E137" i="1"/>
  <c r="E132" i="4" s="1"/>
  <c r="E140" i="1"/>
  <c r="E135" i="4" s="1"/>
  <c r="E144" i="1"/>
  <c r="E139" i="4" s="1"/>
  <c r="E147" i="1"/>
  <c r="E142" i="4" s="1"/>
  <c r="E150" i="1"/>
  <c r="E145" i="4" s="1"/>
  <c r="E153" i="1"/>
  <c r="E148" i="4" s="1"/>
  <c r="E155" i="1"/>
  <c r="E150" i="4" s="1"/>
  <c r="E157" i="1"/>
  <c r="E152" i="4" s="1"/>
  <c r="E160" i="1"/>
  <c r="E155" i="4" s="1"/>
  <c r="E166" i="1"/>
  <c r="E161" i="4" s="1"/>
  <c r="E170" i="1"/>
  <c r="E165" i="4" s="1"/>
  <c r="E174" i="1"/>
  <c r="E169" i="4" s="1"/>
  <c r="E176" i="1"/>
  <c r="E171" i="4" s="1"/>
  <c r="E177" i="1"/>
  <c r="E172" i="4" s="1"/>
  <c r="E179" i="1"/>
  <c r="E181" i="1"/>
  <c r="E176" i="4" s="1"/>
  <c r="E183" i="1"/>
  <c r="E186" i="1"/>
  <c r="E188" i="1"/>
  <c r="E190" i="1"/>
  <c r="G126" i="1"/>
  <c r="G121" i="4" s="1"/>
  <c r="E125" i="1"/>
  <c r="E123" i="1"/>
  <c r="E118" i="4" s="1"/>
  <c r="E41" i="1"/>
  <c r="E36" i="4" s="1"/>
  <c r="E122" i="1"/>
  <c r="E117" i="4" s="1"/>
  <c r="E120" i="1"/>
  <c r="E115" i="4" s="1"/>
  <c r="E118" i="1"/>
  <c r="E113" i="4" s="1"/>
  <c r="E116" i="1"/>
  <c r="E111" i="4" s="1"/>
  <c r="E114" i="1"/>
  <c r="E109" i="4" s="1"/>
  <c r="E112" i="1"/>
  <c r="E107" i="4" s="1"/>
  <c r="E110" i="1"/>
  <c r="E105" i="4" s="1"/>
  <c r="E108" i="1"/>
  <c r="E103" i="4" s="1"/>
  <c r="E106" i="1"/>
  <c r="E101" i="4" s="1"/>
  <c r="E104" i="1"/>
  <c r="E99" i="4" s="1"/>
  <c r="E76" i="1"/>
  <c r="E71" i="4" s="1"/>
  <c r="E74" i="1"/>
  <c r="E69" i="4" s="1"/>
  <c r="E72" i="1"/>
  <c r="E67" i="4" s="1"/>
  <c r="J10" i="1"/>
  <c r="J5" i="4" s="1"/>
  <c r="J14" i="1"/>
  <c r="J9" i="4" s="1"/>
  <c r="J18" i="1"/>
  <c r="J13" i="4" s="1"/>
  <c r="G11" i="1"/>
  <c r="G6" i="4" s="1"/>
  <c r="G15" i="1"/>
  <c r="G10" i="4" s="1"/>
  <c r="G7" i="1"/>
  <c r="G2" i="4" s="1"/>
  <c r="G18" i="1"/>
  <c r="G13" i="4" s="1"/>
  <c r="G14" i="1"/>
  <c r="G9" i="4" s="1"/>
  <c r="G10" i="1"/>
  <c r="G5" i="4" s="1"/>
  <c r="J19" i="1"/>
  <c r="J14" i="4" s="1"/>
  <c r="G45" i="1"/>
  <c r="G40" i="4" s="1"/>
  <c r="J45" i="1"/>
  <c r="J40" i="4" s="1"/>
  <c r="E131" i="1"/>
  <c r="E126" i="4" s="1"/>
  <c r="E129" i="1"/>
  <c r="E124" i="4" s="1"/>
  <c r="E127" i="1"/>
  <c r="E122" i="4" s="1"/>
  <c r="E124" i="1"/>
  <c r="E119" i="4" s="1"/>
  <c r="E69" i="1"/>
  <c r="E64" i="4" s="1"/>
  <c r="E67" i="1"/>
  <c r="E62" i="4" s="1"/>
  <c r="E65" i="1"/>
  <c r="E60" i="4" s="1"/>
  <c r="E63" i="1"/>
  <c r="E58" i="4" s="1"/>
  <c r="E61" i="1"/>
  <c r="E56" i="4" s="1"/>
  <c r="E59" i="1"/>
  <c r="E54" i="4" s="1"/>
  <c r="E57" i="1"/>
  <c r="E52" i="4" s="1"/>
  <c r="E55" i="1"/>
  <c r="E50" i="4" s="1"/>
  <c r="E53" i="1"/>
  <c r="E48" i="4" s="1"/>
  <c r="E51" i="1"/>
  <c r="E46" i="4" s="1"/>
  <c r="E49" i="1"/>
  <c r="E44" i="4" s="1"/>
  <c r="E43" i="1"/>
  <c r="E38" i="4" s="1"/>
  <c r="E40" i="1"/>
  <c r="E35" i="4" s="1"/>
  <c r="E121" i="1"/>
  <c r="E116" i="4" s="1"/>
  <c r="E119" i="1"/>
  <c r="E114" i="4" s="1"/>
  <c r="E117" i="1"/>
  <c r="E112" i="4" s="1"/>
  <c r="E115" i="1"/>
  <c r="E110" i="4" s="1"/>
  <c r="E113" i="1"/>
  <c r="E108" i="4" s="1"/>
  <c r="E111" i="1"/>
  <c r="E106" i="4" s="1"/>
  <c r="E109" i="1"/>
  <c r="E104" i="4" s="1"/>
  <c r="E107" i="1"/>
  <c r="E102" i="4" s="1"/>
  <c r="E105" i="1"/>
  <c r="E100" i="4" s="1"/>
  <c r="E102" i="1"/>
  <c r="E97" i="4" s="1"/>
  <c r="E100" i="1"/>
  <c r="E95" i="4" s="1"/>
  <c r="E98" i="1"/>
  <c r="E93" i="4" s="1"/>
  <c r="E96" i="1"/>
  <c r="E91" i="4" s="1"/>
  <c r="E94" i="1"/>
  <c r="E89" i="4" s="1"/>
  <c r="E92" i="1"/>
  <c r="E87" i="4" s="1"/>
  <c r="E90" i="1"/>
  <c r="E85" i="4" s="1"/>
  <c r="E88" i="1"/>
  <c r="E83" i="4" s="1"/>
  <c r="E86" i="1"/>
  <c r="E81" i="4" s="1"/>
  <c r="E84" i="1"/>
  <c r="E79" i="4" s="1"/>
  <c r="E82" i="1"/>
  <c r="E77" i="4" s="1"/>
  <c r="E80" i="1"/>
  <c r="E75" i="4" s="1"/>
  <c r="E77" i="1"/>
  <c r="E72" i="4" s="1"/>
  <c r="E75" i="1"/>
  <c r="E70" i="4" s="1"/>
  <c r="E73" i="1"/>
  <c r="E68" i="4" s="1"/>
  <c r="E71" i="1"/>
  <c r="E66" i="4" s="1"/>
  <c r="E133" i="1"/>
  <c r="E128" i="4" s="1"/>
  <c r="E135" i="1"/>
  <c r="E130" i="4" s="1"/>
  <c r="G219" i="1" l="1"/>
  <c r="G214" i="4" s="1"/>
  <c r="G128" i="1"/>
  <c r="G123" i="4" s="1"/>
  <c r="E123" i="4"/>
  <c r="G205" i="1"/>
  <c r="G200" i="4" s="1"/>
  <c r="E200" i="4"/>
  <c r="G173" i="1"/>
  <c r="G168" i="4" s="1"/>
  <c r="E168" i="4"/>
  <c r="G97" i="1"/>
  <c r="G92" i="4" s="1"/>
  <c r="E92" i="4"/>
  <c r="G142" i="1"/>
  <c r="G137" i="4" s="1"/>
  <c r="E137" i="4"/>
  <c r="G171" i="1"/>
  <c r="G166" i="4" s="1"/>
  <c r="E166" i="4"/>
  <c r="G136" i="1"/>
  <c r="G131" i="4" s="1"/>
  <c r="E131" i="4"/>
  <c r="A13" i="1"/>
  <c r="A7" i="4"/>
  <c r="I126" i="1"/>
  <c r="I121" i="4" s="1"/>
  <c r="E120" i="4"/>
  <c r="G95" i="1"/>
  <c r="G90" i="4" s="1"/>
  <c r="E90" i="4"/>
  <c r="G56" i="1"/>
  <c r="G51" i="4" s="1"/>
  <c r="E51" i="4"/>
  <c r="G64" i="1"/>
  <c r="G59" i="4" s="1"/>
  <c r="E59" i="4"/>
  <c r="G201" i="1"/>
  <c r="G196" i="4" s="1"/>
  <c r="E196" i="4"/>
  <c r="G189" i="1"/>
  <c r="G184" i="4" s="1"/>
  <c r="E184" i="4"/>
  <c r="G159" i="1"/>
  <c r="G154" i="4" s="1"/>
  <c r="E154" i="4"/>
  <c r="G196" i="1"/>
  <c r="G191" i="4" s="1"/>
  <c r="E191" i="4"/>
  <c r="G199" i="1"/>
  <c r="G194" i="4" s="1"/>
  <c r="E194" i="4"/>
  <c r="G149" i="1"/>
  <c r="G144" i="4" s="1"/>
  <c r="E144" i="4"/>
  <c r="G206" i="1"/>
  <c r="G201" i="4" s="1"/>
  <c r="E201" i="4"/>
  <c r="A520" i="1"/>
  <c r="A514" i="4"/>
  <c r="G183" i="1"/>
  <c r="G178" i="4" s="1"/>
  <c r="E178" i="4"/>
  <c r="G89" i="1"/>
  <c r="G84" i="4" s="1"/>
  <c r="E84" i="4"/>
  <c r="G58" i="1"/>
  <c r="G53" i="4" s="1"/>
  <c r="E53" i="4"/>
  <c r="G66" i="1"/>
  <c r="G61" i="4" s="1"/>
  <c r="E61" i="4"/>
  <c r="J199" i="1"/>
  <c r="J194" i="4" s="1"/>
  <c r="G204" i="1"/>
  <c r="G199" i="4" s="1"/>
  <c r="E199" i="4"/>
  <c r="G187" i="1"/>
  <c r="G182" i="4" s="1"/>
  <c r="E182" i="4"/>
  <c r="G180" i="1"/>
  <c r="G175" i="4" s="1"/>
  <c r="E175" i="4"/>
  <c r="J191" i="1"/>
  <c r="J186" i="4" s="1"/>
  <c r="E185" i="4"/>
  <c r="G134" i="1"/>
  <c r="G129" i="4" s="1"/>
  <c r="E129" i="4"/>
  <c r="G83" i="1"/>
  <c r="G78" i="4" s="1"/>
  <c r="E78" i="4"/>
  <c r="G91" i="1"/>
  <c r="G86" i="4" s="1"/>
  <c r="E86" i="4"/>
  <c r="G99" i="1"/>
  <c r="G94" i="4" s="1"/>
  <c r="E94" i="4"/>
  <c r="G52" i="1"/>
  <c r="G47" i="4" s="1"/>
  <c r="E47" i="4"/>
  <c r="G60" i="1"/>
  <c r="G55" i="4" s="1"/>
  <c r="E55" i="4"/>
  <c r="G68" i="1"/>
  <c r="G63" i="4" s="1"/>
  <c r="E63" i="4"/>
  <c r="G198" i="1"/>
  <c r="G193" i="4" s="1"/>
  <c r="G216" i="1"/>
  <c r="G211" i="4" s="1"/>
  <c r="E211" i="4"/>
  <c r="G203" i="1"/>
  <c r="G198" i="4" s="1"/>
  <c r="E198" i="4"/>
  <c r="G192" i="1"/>
  <c r="G187" i="4" s="1"/>
  <c r="E187" i="4"/>
  <c r="G185" i="1"/>
  <c r="G180" i="4" s="1"/>
  <c r="E180" i="4"/>
  <c r="G168" i="1"/>
  <c r="G163" i="4" s="1"/>
  <c r="E163" i="4"/>
  <c r="G139" i="1"/>
  <c r="G134" i="4" s="1"/>
  <c r="E134" i="4"/>
  <c r="J213" i="1"/>
  <c r="J208" i="4" s="1"/>
  <c r="E208" i="4"/>
  <c r="I195" i="1"/>
  <c r="I190" i="4" s="1"/>
  <c r="E189" i="4"/>
  <c r="G215" i="1"/>
  <c r="G210" i="4" s="1"/>
  <c r="E210" i="4"/>
  <c r="J221" i="1"/>
  <c r="J216" i="4" s="1"/>
  <c r="E215" i="4"/>
  <c r="G186" i="1"/>
  <c r="G181" i="4" s="1"/>
  <c r="E181" i="4"/>
  <c r="G87" i="1"/>
  <c r="G82" i="4" s="1"/>
  <c r="E82" i="4"/>
  <c r="G161" i="1"/>
  <c r="G156" i="4" s="1"/>
  <c r="E156" i="4"/>
  <c r="G158" i="1"/>
  <c r="G153" i="4" s="1"/>
  <c r="E153" i="4"/>
  <c r="G145" i="1"/>
  <c r="G140" i="4" s="1"/>
  <c r="E140" i="4"/>
  <c r="G42" i="1"/>
  <c r="G37" i="4" s="1"/>
  <c r="E37" i="4"/>
  <c r="G81" i="1"/>
  <c r="G76" i="4" s="1"/>
  <c r="E76" i="4"/>
  <c r="G50" i="1"/>
  <c r="G45" i="4" s="1"/>
  <c r="E45" i="4"/>
  <c r="G130" i="1"/>
  <c r="G125" i="4" s="1"/>
  <c r="E125" i="4"/>
  <c r="G193" i="1"/>
  <c r="G188" i="4" s="1"/>
  <c r="E188" i="4"/>
  <c r="G152" i="1"/>
  <c r="G147" i="4" s="1"/>
  <c r="E147" i="4"/>
  <c r="G210" i="1"/>
  <c r="G205" i="4" s="1"/>
  <c r="E205" i="4"/>
  <c r="G175" i="1"/>
  <c r="G170" i="4" s="1"/>
  <c r="E170" i="4"/>
  <c r="J189" i="1"/>
  <c r="J184" i="4" s="1"/>
  <c r="E183" i="4"/>
  <c r="G179" i="1"/>
  <c r="G174" i="4" s="1"/>
  <c r="E174" i="4"/>
  <c r="G78" i="1"/>
  <c r="G73" i="4" s="1"/>
  <c r="E73" i="4"/>
  <c r="G85" i="1"/>
  <c r="G80" i="4" s="1"/>
  <c r="E80" i="4"/>
  <c r="G93" i="1"/>
  <c r="G88" i="4" s="1"/>
  <c r="E88" i="4"/>
  <c r="G101" i="1"/>
  <c r="G96" i="4" s="1"/>
  <c r="E96" i="4"/>
  <c r="G54" i="1"/>
  <c r="G49" i="4" s="1"/>
  <c r="E49" i="4"/>
  <c r="G62" i="1"/>
  <c r="G57" i="4" s="1"/>
  <c r="E57" i="4"/>
  <c r="G70" i="1"/>
  <c r="G65" i="4" s="1"/>
  <c r="E65" i="4"/>
  <c r="I209" i="1"/>
  <c r="I204" i="4" s="1"/>
  <c r="E203" i="4"/>
  <c r="G191" i="1"/>
  <c r="G186" i="4" s="1"/>
  <c r="E186" i="4"/>
  <c r="G138" i="1"/>
  <c r="G133" i="4" s="1"/>
  <c r="E133" i="4"/>
  <c r="G132" i="1"/>
  <c r="G127" i="4" s="1"/>
  <c r="E127" i="4"/>
  <c r="G163" i="1"/>
  <c r="G158" i="4" s="1"/>
  <c r="E158" i="4"/>
  <c r="G165" i="1"/>
  <c r="G160" i="4" s="1"/>
  <c r="E160" i="4"/>
  <c r="G200" i="1"/>
  <c r="G195" i="4" s="1"/>
  <c r="E195" i="4"/>
  <c r="G209" i="1"/>
  <c r="G204" i="4" s="1"/>
  <c r="E204" i="4"/>
  <c r="G156" i="1"/>
  <c r="G151" i="4" s="1"/>
  <c r="E151" i="4"/>
  <c r="G207" i="1"/>
  <c r="G202" i="4" s="1"/>
  <c r="E202" i="4"/>
  <c r="G154" i="1"/>
  <c r="G149" i="4" s="1"/>
  <c r="E149" i="4"/>
  <c r="G214" i="1"/>
  <c r="G209" i="4" s="1"/>
  <c r="E209" i="4"/>
  <c r="J174" i="1"/>
  <c r="J169" i="4" s="1"/>
  <c r="I173" i="1"/>
  <c r="I168" i="4" s="1"/>
  <c r="J142" i="1"/>
  <c r="J137" i="4" s="1"/>
  <c r="J143" i="1"/>
  <c r="J138" i="4" s="1"/>
  <c r="J211" i="1"/>
  <c r="J206" i="4" s="1"/>
  <c r="J89" i="1"/>
  <c r="J84" i="4" s="1"/>
  <c r="J196" i="1"/>
  <c r="J191" i="4" s="1"/>
  <c r="I140" i="1"/>
  <c r="I135" i="4" s="1"/>
  <c r="I199" i="1"/>
  <c r="I194" i="4" s="1"/>
  <c r="I220" i="1"/>
  <c r="I215" i="4" s="1"/>
  <c r="G220" i="1"/>
  <c r="G215" i="4" s="1"/>
  <c r="G213" i="1"/>
  <c r="G208" i="4" s="1"/>
  <c r="G194" i="1"/>
  <c r="G189" i="4" s="1"/>
  <c r="I214" i="1"/>
  <c r="I209" i="4" s="1"/>
  <c r="I211" i="1"/>
  <c r="I206" i="4" s="1"/>
  <c r="J195" i="1"/>
  <c r="J190" i="4" s="1"/>
  <c r="I221" i="1"/>
  <c r="I216" i="4" s="1"/>
  <c r="I177" i="1"/>
  <c r="I172" i="4" s="1"/>
  <c r="I208" i="1"/>
  <c r="I203" i="4" s="1"/>
  <c r="G211" i="1"/>
  <c r="G206" i="4" s="1"/>
  <c r="G208" i="1"/>
  <c r="G203" i="4" s="1"/>
  <c r="I150" i="1"/>
  <c r="I145" i="4" s="1"/>
  <c r="I139" i="1"/>
  <c r="I134" i="4" s="1"/>
  <c r="J220" i="1"/>
  <c r="J215" i="4" s="1"/>
  <c r="J200" i="1"/>
  <c r="J195" i="4" s="1"/>
  <c r="I205" i="1"/>
  <c r="I200" i="4" s="1"/>
  <c r="I210" i="1"/>
  <c r="I205" i="4" s="1"/>
  <c r="J158" i="1"/>
  <c r="J153" i="4" s="1"/>
  <c r="J205" i="1"/>
  <c r="J200" i="4" s="1"/>
  <c r="I203" i="1"/>
  <c r="I198" i="4" s="1"/>
  <c r="I185" i="1"/>
  <c r="I180" i="4" s="1"/>
  <c r="J212" i="1"/>
  <c r="J207" i="4" s="1"/>
  <c r="J214" i="1"/>
  <c r="J209" i="4" s="1"/>
  <c r="J204" i="1"/>
  <c r="J199" i="4" s="1"/>
  <c r="J206" i="1"/>
  <c r="J201" i="4" s="1"/>
  <c r="I219" i="1"/>
  <c r="I214" i="4" s="1"/>
  <c r="J183" i="1"/>
  <c r="J178" i="4" s="1"/>
  <c r="J149" i="1"/>
  <c r="J144" i="4" s="1"/>
  <c r="I206" i="1"/>
  <c r="I201" i="4" s="1"/>
  <c r="I143" i="1"/>
  <c r="I138" i="4" s="1"/>
  <c r="J201" i="1"/>
  <c r="J196" i="4" s="1"/>
  <c r="I200" i="1"/>
  <c r="I195" i="4" s="1"/>
  <c r="J144" i="1"/>
  <c r="J139" i="4" s="1"/>
  <c r="J215" i="1"/>
  <c r="J210" i="4" s="1"/>
  <c r="J165" i="1"/>
  <c r="J160" i="4" s="1"/>
  <c r="G188" i="1"/>
  <c r="G183" i="4" s="1"/>
  <c r="I95" i="1"/>
  <c r="I90" i="4" s="1"/>
  <c r="I215" i="1"/>
  <c r="I210" i="4" s="1"/>
  <c r="I212" i="1"/>
  <c r="I207" i="4" s="1"/>
  <c r="J207" i="1"/>
  <c r="J202" i="4" s="1"/>
  <c r="G143" i="1"/>
  <c r="G138" i="4" s="1"/>
  <c r="I181" i="1"/>
  <c r="I176" i="4" s="1"/>
  <c r="G212" i="1"/>
  <c r="G207" i="4" s="1"/>
  <c r="I207" i="1"/>
  <c r="I202" i="4" s="1"/>
  <c r="J164" i="1"/>
  <c r="J159" i="4" s="1"/>
  <c r="I213" i="1"/>
  <c r="I208" i="4" s="1"/>
  <c r="J186" i="1"/>
  <c r="J181" i="4" s="1"/>
  <c r="J156" i="1"/>
  <c r="J151" i="4" s="1"/>
  <c r="G181" i="1"/>
  <c r="G176" i="4" s="1"/>
  <c r="G177" i="1"/>
  <c r="G172" i="4" s="1"/>
  <c r="I194" i="1"/>
  <c r="I189" i="4" s="1"/>
  <c r="J182" i="1"/>
  <c r="J177" i="4" s="1"/>
  <c r="J170" i="1"/>
  <c r="J165" i="4" s="1"/>
  <c r="I134" i="1"/>
  <c r="I129" i="4" s="1"/>
  <c r="I153" i="1"/>
  <c r="I148" i="4" s="1"/>
  <c r="G184" i="1"/>
  <c r="G179" i="4" s="1"/>
  <c r="J219" i="1"/>
  <c r="J214" i="4" s="1"/>
  <c r="J178" i="1"/>
  <c r="J173" i="4" s="1"/>
  <c r="I178" i="1"/>
  <c r="I173" i="4" s="1"/>
  <c r="J192" i="1"/>
  <c r="J187" i="4" s="1"/>
  <c r="I170" i="1"/>
  <c r="I165" i="4" s="1"/>
  <c r="J209" i="1"/>
  <c r="J204" i="4" s="1"/>
  <c r="J176" i="1"/>
  <c r="J171" i="4" s="1"/>
  <c r="J185" i="1"/>
  <c r="J180" i="4" s="1"/>
  <c r="J203" i="1"/>
  <c r="J198" i="4" s="1"/>
  <c r="J208" i="1"/>
  <c r="J203" i="4" s="1"/>
  <c r="G202" i="1"/>
  <c r="G197" i="4" s="1"/>
  <c r="J210" i="1"/>
  <c r="J205" i="4" s="1"/>
  <c r="I196" i="1"/>
  <c r="I191" i="4" s="1"/>
  <c r="J146" i="1"/>
  <c r="J141" i="4" s="1"/>
  <c r="I193" i="1"/>
  <c r="I188" i="4" s="1"/>
  <c r="I204" i="1"/>
  <c r="I199" i="4" s="1"/>
  <c r="I169" i="1"/>
  <c r="I164" i="4" s="1"/>
  <c r="I191" i="1"/>
  <c r="I186" i="4" s="1"/>
  <c r="J217" i="1"/>
  <c r="J212" i="4" s="1"/>
  <c r="J153" i="1"/>
  <c r="J148" i="4" s="1"/>
  <c r="G178" i="1"/>
  <c r="G173" i="4" s="1"/>
  <c r="J202" i="1"/>
  <c r="J197" i="4" s="1"/>
  <c r="I174" i="1"/>
  <c r="I169" i="4" s="1"/>
  <c r="J140" i="1"/>
  <c r="J135" i="4" s="1"/>
  <c r="J180" i="1"/>
  <c r="J175" i="4" s="1"/>
  <c r="I192" i="1"/>
  <c r="I187" i="4" s="1"/>
  <c r="J218" i="1"/>
  <c r="J213" i="4" s="1"/>
  <c r="I202" i="1"/>
  <c r="I197" i="4" s="1"/>
  <c r="G169" i="1"/>
  <c r="G164" i="4" s="1"/>
  <c r="I218" i="1"/>
  <c r="I213" i="4" s="1"/>
  <c r="I182" i="1"/>
  <c r="I177" i="4" s="1"/>
  <c r="G218" i="1"/>
  <c r="G213" i="4" s="1"/>
  <c r="J193" i="1"/>
  <c r="J188" i="4" s="1"/>
  <c r="J194" i="1"/>
  <c r="J189" i="4" s="1"/>
  <c r="J138" i="1"/>
  <c r="J133" i="4" s="1"/>
  <c r="J175" i="1"/>
  <c r="J170" i="4" s="1"/>
  <c r="I190" i="1"/>
  <c r="I185" i="4" s="1"/>
  <c r="J190" i="1"/>
  <c r="J185" i="4" s="1"/>
  <c r="J216" i="1"/>
  <c r="J211" i="4" s="1"/>
  <c r="I217" i="1"/>
  <c r="I212" i="4" s="1"/>
  <c r="J97" i="1"/>
  <c r="J92" i="4" s="1"/>
  <c r="J181" i="1"/>
  <c r="J176" i="4" s="1"/>
  <c r="J130" i="1"/>
  <c r="J125" i="4" s="1"/>
  <c r="G190" i="1"/>
  <c r="G185" i="4" s="1"/>
  <c r="I216" i="1"/>
  <c r="I211" i="4" s="1"/>
  <c r="G217" i="1"/>
  <c r="G212" i="4" s="1"/>
  <c r="I201" i="1"/>
  <c r="I196" i="4" s="1"/>
  <c r="G182" i="1"/>
  <c r="G177" i="4" s="1"/>
  <c r="I83" i="1"/>
  <c r="I78" i="4" s="1"/>
  <c r="J168" i="1"/>
  <c r="J163" i="4" s="1"/>
  <c r="J159" i="1"/>
  <c r="J154" i="4" s="1"/>
  <c r="J152" i="1"/>
  <c r="J147" i="4" s="1"/>
  <c r="I159" i="1"/>
  <c r="I154" i="4" s="1"/>
  <c r="J188" i="1"/>
  <c r="J183" i="4" s="1"/>
  <c r="J177" i="1"/>
  <c r="J172" i="4" s="1"/>
  <c r="J169" i="1"/>
  <c r="J164" i="4" s="1"/>
  <c r="I188" i="1"/>
  <c r="I183" i="4" s="1"/>
  <c r="I184" i="1"/>
  <c r="I179" i="4" s="1"/>
  <c r="I189" i="1"/>
  <c r="I184" i="4" s="1"/>
  <c r="I168" i="1"/>
  <c r="I163" i="4" s="1"/>
  <c r="G167" i="1"/>
  <c r="G162" i="4" s="1"/>
  <c r="I162" i="1"/>
  <c r="I157" i="4" s="1"/>
  <c r="J163" i="1"/>
  <c r="J158" i="4" s="1"/>
  <c r="I163" i="1"/>
  <c r="I158" i="4" s="1"/>
  <c r="G162" i="1"/>
  <c r="G157" i="4" s="1"/>
  <c r="J162" i="1"/>
  <c r="J157" i="4" s="1"/>
  <c r="I149" i="1"/>
  <c r="I144" i="4" s="1"/>
  <c r="G148" i="1"/>
  <c r="G143" i="4" s="1"/>
  <c r="I142" i="1"/>
  <c r="I137" i="4" s="1"/>
  <c r="G141" i="1"/>
  <c r="G136" i="4" s="1"/>
  <c r="I180" i="1"/>
  <c r="I175" i="4" s="1"/>
  <c r="I183" i="1"/>
  <c r="I178" i="4" s="1"/>
  <c r="J184" i="1"/>
  <c r="J179" i="4" s="1"/>
  <c r="I179" i="1"/>
  <c r="I174" i="4" s="1"/>
  <c r="J179" i="1"/>
  <c r="J174" i="4" s="1"/>
  <c r="J187" i="1"/>
  <c r="J182" i="4" s="1"/>
  <c r="I187" i="1"/>
  <c r="I182" i="4" s="1"/>
  <c r="I186" i="1"/>
  <c r="I181" i="4" s="1"/>
  <c r="J139" i="1"/>
  <c r="J134" i="4" s="1"/>
  <c r="G172" i="1"/>
  <c r="G167" i="4" s="1"/>
  <c r="I172" i="1"/>
  <c r="I167" i="4" s="1"/>
  <c r="J172" i="1"/>
  <c r="J167" i="4" s="1"/>
  <c r="J173" i="1"/>
  <c r="J168" i="4" s="1"/>
  <c r="G164" i="1"/>
  <c r="G159" i="4" s="1"/>
  <c r="I164" i="1"/>
  <c r="I159" i="4" s="1"/>
  <c r="I165" i="1"/>
  <c r="I160" i="4" s="1"/>
  <c r="G151" i="1"/>
  <c r="G146" i="4" s="1"/>
  <c r="I152" i="1"/>
  <c r="I147" i="4" s="1"/>
  <c r="G146" i="1"/>
  <c r="G141" i="4" s="1"/>
  <c r="I146" i="1"/>
  <c r="I141" i="4" s="1"/>
  <c r="I176" i="1"/>
  <c r="I171" i="4" s="1"/>
  <c r="G176" i="1"/>
  <c r="G171" i="4" s="1"/>
  <c r="G174" i="1"/>
  <c r="G169" i="4" s="1"/>
  <c r="I175" i="1"/>
  <c r="I170" i="4" s="1"/>
  <c r="G166" i="1"/>
  <c r="G161" i="4" s="1"/>
  <c r="J167" i="1"/>
  <c r="J162" i="4" s="1"/>
  <c r="I167" i="1"/>
  <c r="I162" i="4" s="1"/>
  <c r="J166" i="1"/>
  <c r="J161" i="4" s="1"/>
  <c r="I166" i="1"/>
  <c r="I161" i="4" s="1"/>
  <c r="G157" i="1"/>
  <c r="G152" i="4" s="1"/>
  <c r="I158" i="1"/>
  <c r="I153" i="4" s="1"/>
  <c r="J157" i="1"/>
  <c r="J152" i="4" s="1"/>
  <c r="I157" i="1"/>
  <c r="I152" i="4" s="1"/>
  <c r="I155" i="1"/>
  <c r="I150" i="4" s="1"/>
  <c r="G155" i="1"/>
  <c r="G150" i="4" s="1"/>
  <c r="I156" i="1"/>
  <c r="I151" i="4" s="1"/>
  <c r="J155" i="1"/>
  <c r="J150" i="4" s="1"/>
  <c r="I154" i="1"/>
  <c r="I149" i="4" s="1"/>
  <c r="G153" i="1"/>
  <c r="G148" i="4" s="1"/>
  <c r="I151" i="1"/>
  <c r="I146" i="4" s="1"/>
  <c r="J150" i="1"/>
  <c r="J145" i="4" s="1"/>
  <c r="J151" i="1"/>
  <c r="J146" i="4" s="1"/>
  <c r="G150" i="1"/>
  <c r="G145" i="4" s="1"/>
  <c r="G140" i="1"/>
  <c r="G135" i="4" s="1"/>
  <c r="J141" i="1"/>
  <c r="J136" i="4" s="1"/>
  <c r="I141" i="1"/>
  <c r="I136" i="4" s="1"/>
  <c r="I79" i="1"/>
  <c r="I74" i="4" s="1"/>
  <c r="G79" i="1"/>
  <c r="G74" i="4" s="1"/>
  <c r="J79" i="1"/>
  <c r="J74" i="4" s="1"/>
  <c r="I48" i="1"/>
  <c r="I43" i="4" s="1"/>
  <c r="G48" i="1"/>
  <c r="G43" i="4" s="1"/>
  <c r="J48" i="1"/>
  <c r="J43" i="4" s="1"/>
  <c r="I197" i="1"/>
  <c r="I192" i="4" s="1"/>
  <c r="G197" i="1"/>
  <c r="G192" i="4" s="1"/>
  <c r="J197" i="1"/>
  <c r="J192" i="4" s="1"/>
  <c r="I130" i="1"/>
  <c r="I125" i="4" s="1"/>
  <c r="I171" i="1"/>
  <c r="I166" i="4" s="1"/>
  <c r="J171" i="1"/>
  <c r="J166" i="4" s="1"/>
  <c r="G170" i="1"/>
  <c r="G165" i="4" s="1"/>
  <c r="G160" i="1"/>
  <c r="G155" i="4" s="1"/>
  <c r="J160" i="1"/>
  <c r="J155" i="4" s="1"/>
  <c r="I161" i="1"/>
  <c r="I156" i="4" s="1"/>
  <c r="J161" i="1"/>
  <c r="J156" i="4" s="1"/>
  <c r="J147" i="1"/>
  <c r="J142" i="4" s="1"/>
  <c r="J148" i="1"/>
  <c r="J143" i="4" s="1"/>
  <c r="G147" i="1"/>
  <c r="G142" i="4" s="1"/>
  <c r="I147" i="1"/>
  <c r="I142" i="4" s="1"/>
  <c r="I145" i="1"/>
  <c r="I140" i="4" s="1"/>
  <c r="G144" i="1"/>
  <c r="G139" i="4" s="1"/>
  <c r="J145" i="1"/>
  <c r="J140" i="4" s="1"/>
  <c r="I144" i="1"/>
  <c r="I139" i="4" s="1"/>
  <c r="I137" i="1"/>
  <c r="I132" i="4" s="1"/>
  <c r="G137" i="1"/>
  <c r="G132" i="4" s="1"/>
  <c r="J137" i="1"/>
  <c r="J132" i="4" s="1"/>
  <c r="I160" i="1"/>
  <c r="I155" i="4" s="1"/>
  <c r="J154" i="1"/>
  <c r="J149" i="4" s="1"/>
  <c r="I148" i="1"/>
  <c r="I143" i="4" s="1"/>
  <c r="I138" i="1"/>
  <c r="I133" i="4" s="1"/>
  <c r="I198" i="1"/>
  <c r="I193" i="4" s="1"/>
  <c r="J198" i="1"/>
  <c r="J193" i="4" s="1"/>
  <c r="J77" i="1"/>
  <c r="J72" i="4" s="1"/>
  <c r="G77" i="1"/>
  <c r="G72" i="4" s="1"/>
  <c r="I77" i="1"/>
  <c r="I72" i="4" s="1"/>
  <c r="I78" i="1"/>
  <c r="I73" i="4" s="1"/>
  <c r="I86" i="1"/>
  <c r="I81" i="4" s="1"/>
  <c r="J87" i="1"/>
  <c r="J82" i="4" s="1"/>
  <c r="G86" i="1"/>
  <c r="G81" i="4" s="1"/>
  <c r="J86" i="1"/>
  <c r="J81" i="4" s="1"/>
  <c r="I90" i="1"/>
  <c r="I85" i="4" s="1"/>
  <c r="J91" i="1"/>
  <c r="J86" i="4" s="1"/>
  <c r="G90" i="1"/>
  <c r="G85" i="4" s="1"/>
  <c r="J90" i="1"/>
  <c r="J85" i="4" s="1"/>
  <c r="I98" i="1"/>
  <c r="I93" i="4" s="1"/>
  <c r="J99" i="1"/>
  <c r="J94" i="4" s="1"/>
  <c r="G98" i="1"/>
  <c r="G93" i="4" s="1"/>
  <c r="J98" i="1"/>
  <c r="J93" i="4" s="1"/>
  <c r="J107" i="1"/>
  <c r="J102" i="4" s="1"/>
  <c r="G107" i="1"/>
  <c r="G102" i="4" s="1"/>
  <c r="I107" i="1"/>
  <c r="I102" i="4" s="1"/>
  <c r="G115" i="1"/>
  <c r="G110" i="4" s="1"/>
  <c r="I115" i="1"/>
  <c r="I110" i="4" s="1"/>
  <c r="J115" i="1"/>
  <c r="J110" i="4" s="1"/>
  <c r="G119" i="1"/>
  <c r="G114" i="4" s="1"/>
  <c r="I119" i="1"/>
  <c r="I114" i="4" s="1"/>
  <c r="J119" i="1"/>
  <c r="J114" i="4" s="1"/>
  <c r="I40" i="1"/>
  <c r="I35" i="4" s="1"/>
  <c r="J40" i="1"/>
  <c r="J35" i="4" s="1"/>
  <c r="G40" i="1"/>
  <c r="G35" i="4" s="1"/>
  <c r="J49" i="1"/>
  <c r="J44" i="4" s="1"/>
  <c r="G49" i="1"/>
  <c r="G44" i="4" s="1"/>
  <c r="J50" i="1"/>
  <c r="J45" i="4" s="1"/>
  <c r="I49" i="1"/>
  <c r="I44" i="4" s="1"/>
  <c r="I53" i="1"/>
  <c r="I48" i="4" s="1"/>
  <c r="G53" i="1"/>
  <c r="G48" i="4" s="1"/>
  <c r="J54" i="1"/>
  <c r="J49" i="4" s="1"/>
  <c r="J53" i="1"/>
  <c r="J48" i="4" s="1"/>
  <c r="G57" i="1"/>
  <c r="G52" i="4" s="1"/>
  <c r="J57" i="1"/>
  <c r="J52" i="4" s="1"/>
  <c r="J58" i="1"/>
  <c r="J53" i="4" s="1"/>
  <c r="I57" i="1"/>
  <c r="I52" i="4" s="1"/>
  <c r="G61" i="1"/>
  <c r="G56" i="4" s="1"/>
  <c r="J61" i="1"/>
  <c r="J56" i="4" s="1"/>
  <c r="J62" i="1"/>
  <c r="J57" i="4" s="1"/>
  <c r="I61" i="1"/>
  <c r="I56" i="4" s="1"/>
  <c r="G65" i="1"/>
  <c r="G60" i="4" s="1"/>
  <c r="J66" i="1"/>
  <c r="J61" i="4" s="1"/>
  <c r="J65" i="1"/>
  <c r="J60" i="4" s="1"/>
  <c r="I65" i="1"/>
  <c r="I60" i="4" s="1"/>
  <c r="G69" i="1"/>
  <c r="G64" i="4" s="1"/>
  <c r="J70" i="1"/>
  <c r="J65" i="4" s="1"/>
  <c r="I70" i="1"/>
  <c r="I65" i="4" s="1"/>
  <c r="J69" i="1"/>
  <c r="J64" i="4" s="1"/>
  <c r="I69" i="1"/>
  <c r="I64" i="4" s="1"/>
  <c r="J127" i="1"/>
  <c r="J122" i="4" s="1"/>
  <c r="I127" i="1"/>
  <c r="I122" i="4" s="1"/>
  <c r="J128" i="1"/>
  <c r="J123" i="4" s="1"/>
  <c r="I128" i="1"/>
  <c r="I123" i="4" s="1"/>
  <c r="G127" i="1"/>
  <c r="G122" i="4" s="1"/>
  <c r="I131" i="1"/>
  <c r="I126" i="4" s="1"/>
  <c r="J131" i="1"/>
  <c r="J126" i="4" s="1"/>
  <c r="G131" i="1"/>
  <c r="G126" i="4" s="1"/>
  <c r="G72" i="1"/>
  <c r="G67" i="4" s="1"/>
  <c r="I72" i="1"/>
  <c r="I67" i="4" s="1"/>
  <c r="J72" i="1"/>
  <c r="J67" i="4" s="1"/>
  <c r="G76" i="1"/>
  <c r="G71" i="4" s="1"/>
  <c r="I76" i="1"/>
  <c r="I71" i="4" s="1"/>
  <c r="J76" i="1"/>
  <c r="J71" i="4" s="1"/>
  <c r="J106" i="1"/>
  <c r="J101" i="4" s="1"/>
  <c r="G106" i="1"/>
  <c r="G101" i="4" s="1"/>
  <c r="I106" i="1"/>
  <c r="I101" i="4" s="1"/>
  <c r="J110" i="1"/>
  <c r="J105" i="4" s="1"/>
  <c r="G110" i="1"/>
  <c r="G105" i="4" s="1"/>
  <c r="I110" i="1"/>
  <c r="I105" i="4" s="1"/>
  <c r="J114" i="1"/>
  <c r="J109" i="4" s="1"/>
  <c r="G114" i="1"/>
  <c r="G109" i="4" s="1"/>
  <c r="I114" i="1"/>
  <c r="I109" i="4" s="1"/>
  <c r="G118" i="1"/>
  <c r="G113" i="4" s="1"/>
  <c r="I118" i="1"/>
  <c r="I113" i="4" s="1"/>
  <c r="J118" i="1"/>
  <c r="J113" i="4" s="1"/>
  <c r="G122" i="1"/>
  <c r="G117" i="4" s="1"/>
  <c r="I122" i="1"/>
  <c r="I117" i="4" s="1"/>
  <c r="J122" i="1"/>
  <c r="J117" i="4" s="1"/>
  <c r="G123" i="1"/>
  <c r="G118" i="4" s="1"/>
  <c r="I123" i="1"/>
  <c r="I118" i="4" s="1"/>
  <c r="J123" i="1"/>
  <c r="J118" i="4" s="1"/>
  <c r="J78" i="1"/>
  <c r="J73" i="4" s="1"/>
  <c r="I89" i="1"/>
  <c r="I84" i="4" s="1"/>
  <c r="J132" i="1"/>
  <c r="J127" i="4" s="1"/>
  <c r="I50" i="1"/>
  <c r="I45" i="4" s="1"/>
  <c r="I54" i="1"/>
  <c r="I49" i="4" s="1"/>
  <c r="I58" i="1"/>
  <c r="I53" i="4" s="1"/>
  <c r="I62" i="1"/>
  <c r="I57" i="4" s="1"/>
  <c r="I66" i="1"/>
  <c r="I61" i="4" s="1"/>
  <c r="G133" i="1"/>
  <c r="G128" i="4" s="1"/>
  <c r="I133" i="1"/>
  <c r="I128" i="4" s="1"/>
  <c r="J133" i="1"/>
  <c r="J128" i="4" s="1"/>
  <c r="J134" i="1"/>
  <c r="J129" i="4" s="1"/>
  <c r="I73" i="1"/>
  <c r="I68" i="4" s="1"/>
  <c r="J73" i="1"/>
  <c r="J68" i="4" s="1"/>
  <c r="G73" i="1"/>
  <c r="G68" i="4" s="1"/>
  <c r="I82" i="1"/>
  <c r="I77" i="4" s="1"/>
  <c r="J83" i="1"/>
  <c r="J78" i="4" s="1"/>
  <c r="J82" i="1"/>
  <c r="J77" i="4" s="1"/>
  <c r="G82" i="1"/>
  <c r="G77" i="4" s="1"/>
  <c r="I94" i="1"/>
  <c r="I89" i="4" s="1"/>
  <c r="J95" i="1"/>
  <c r="J90" i="4" s="1"/>
  <c r="G94" i="1"/>
  <c r="G89" i="4" s="1"/>
  <c r="J94" i="1"/>
  <c r="J89" i="4" s="1"/>
  <c r="G102" i="1"/>
  <c r="G97" i="4" s="1"/>
  <c r="I103" i="1"/>
  <c r="I98" i="4" s="1"/>
  <c r="J103" i="1"/>
  <c r="J98" i="4" s="1"/>
  <c r="I102" i="1"/>
  <c r="I97" i="4" s="1"/>
  <c r="J102" i="1"/>
  <c r="J97" i="4" s="1"/>
  <c r="J111" i="1"/>
  <c r="J106" i="4" s="1"/>
  <c r="G111" i="1"/>
  <c r="G106" i="4" s="1"/>
  <c r="I111" i="1"/>
  <c r="I106" i="4" s="1"/>
  <c r="G135" i="1"/>
  <c r="G130" i="4" s="1"/>
  <c r="J136" i="1"/>
  <c r="J131" i="4" s="1"/>
  <c r="J135" i="1"/>
  <c r="J130" i="4" s="1"/>
  <c r="I135" i="1"/>
  <c r="I130" i="4" s="1"/>
  <c r="I136" i="1"/>
  <c r="I131" i="4" s="1"/>
  <c r="I71" i="1"/>
  <c r="I66" i="4" s="1"/>
  <c r="G71" i="1"/>
  <c r="G66" i="4" s="1"/>
  <c r="J71" i="1"/>
  <c r="J66" i="4" s="1"/>
  <c r="J75" i="1"/>
  <c r="J70" i="4" s="1"/>
  <c r="G75" i="1"/>
  <c r="G70" i="4" s="1"/>
  <c r="I75" i="1"/>
  <c r="I70" i="4" s="1"/>
  <c r="G80" i="1"/>
  <c r="G75" i="4" s="1"/>
  <c r="J80" i="1"/>
  <c r="J75" i="4" s="1"/>
  <c r="I81" i="1"/>
  <c r="I76" i="4" s="1"/>
  <c r="I80" i="1"/>
  <c r="I75" i="4" s="1"/>
  <c r="G84" i="1"/>
  <c r="G79" i="4" s="1"/>
  <c r="J84" i="1"/>
  <c r="J79" i="4" s="1"/>
  <c r="I85" i="1"/>
  <c r="I80" i="4" s="1"/>
  <c r="I84" i="1"/>
  <c r="I79" i="4" s="1"/>
  <c r="G88" i="1"/>
  <c r="G83" i="4" s="1"/>
  <c r="J88" i="1"/>
  <c r="J83" i="4" s="1"/>
  <c r="I88" i="1"/>
  <c r="I83" i="4" s="1"/>
  <c r="G92" i="1"/>
  <c r="G87" i="4" s="1"/>
  <c r="J92" i="1"/>
  <c r="J87" i="4" s="1"/>
  <c r="I93" i="1"/>
  <c r="I88" i="4" s="1"/>
  <c r="I92" i="1"/>
  <c r="I87" i="4" s="1"/>
  <c r="G96" i="1"/>
  <c r="G91" i="4" s="1"/>
  <c r="J96" i="1"/>
  <c r="J91" i="4" s="1"/>
  <c r="I97" i="1"/>
  <c r="I92" i="4" s="1"/>
  <c r="I96" i="1"/>
  <c r="I91" i="4" s="1"/>
  <c r="G100" i="1"/>
  <c r="G95" i="4" s="1"/>
  <c r="J100" i="1"/>
  <c r="J95" i="4" s="1"/>
  <c r="I101" i="1"/>
  <c r="I96" i="4" s="1"/>
  <c r="I100" i="1"/>
  <c r="I95" i="4" s="1"/>
  <c r="J105" i="1"/>
  <c r="J100" i="4" s="1"/>
  <c r="G105" i="1"/>
  <c r="G100" i="4" s="1"/>
  <c r="I105" i="1"/>
  <c r="I100" i="4" s="1"/>
  <c r="J109" i="1"/>
  <c r="J104" i="4" s="1"/>
  <c r="G109" i="1"/>
  <c r="G104" i="4" s="1"/>
  <c r="I109" i="1"/>
  <c r="I104" i="4" s="1"/>
  <c r="J113" i="1"/>
  <c r="J108" i="4" s="1"/>
  <c r="G113" i="1"/>
  <c r="G108" i="4" s="1"/>
  <c r="I113" i="1"/>
  <c r="I108" i="4" s="1"/>
  <c r="G117" i="1"/>
  <c r="G112" i="4" s="1"/>
  <c r="I117" i="1"/>
  <c r="I112" i="4" s="1"/>
  <c r="J117" i="1"/>
  <c r="J112" i="4" s="1"/>
  <c r="G121" i="1"/>
  <c r="G116" i="4" s="1"/>
  <c r="I121" i="1"/>
  <c r="I116" i="4" s="1"/>
  <c r="J121" i="1"/>
  <c r="J116" i="4" s="1"/>
  <c r="I44" i="1"/>
  <c r="I39" i="4" s="1"/>
  <c r="I43" i="1"/>
  <c r="I38" i="4" s="1"/>
  <c r="G43" i="1"/>
  <c r="G38" i="4" s="1"/>
  <c r="J44" i="1"/>
  <c r="J39" i="4" s="1"/>
  <c r="J43" i="1"/>
  <c r="J38" i="4" s="1"/>
  <c r="G51" i="1"/>
  <c r="G46" i="4" s="1"/>
  <c r="J51" i="1"/>
  <c r="J46" i="4" s="1"/>
  <c r="J52" i="1"/>
  <c r="J47" i="4" s="1"/>
  <c r="I51" i="1"/>
  <c r="I46" i="4" s="1"/>
  <c r="I55" i="1"/>
  <c r="I50" i="4" s="1"/>
  <c r="G55" i="1"/>
  <c r="G50" i="4" s="1"/>
  <c r="I56" i="1"/>
  <c r="I51" i="4" s="1"/>
  <c r="J55" i="1"/>
  <c r="J50" i="4" s="1"/>
  <c r="G59" i="1"/>
  <c r="G54" i="4" s="1"/>
  <c r="J59" i="1"/>
  <c r="J54" i="4" s="1"/>
  <c r="J60" i="1"/>
  <c r="J55" i="4" s="1"/>
  <c r="I59" i="1"/>
  <c r="I54" i="4" s="1"/>
  <c r="G63" i="1"/>
  <c r="G58" i="4" s="1"/>
  <c r="J63" i="1"/>
  <c r="J58" i="4" s="1"/>
  <c r="I64" i="1"/>
  <c r="I59" i="4" s="1"/>
  <c r="I63" i="1"/>
  <c r="I58" i="4" s="1"/>
  <c r="J67" i="1"/>
  <c r="J62" i="4" s="1"/>
  <c r="I67" i="1"/>
  <c r="I62" i="4" s="1"/>
  <c r="I68" i="1"/>
  <c r="I63" i="4" s="1"/>
  <c r="G67" i="1"/>
  <c r="G62" i="4" s="1"/>
  <c r="G124" i="1"/>
  <c r="G119" i="4" s="1"/>
  <c r="I124" i="1"/>
  <c r="I119" i="4" s="1"/>
  <c r="J124" i="1"/>
  <c r="J119" i="4" s="1"/>
  <c r="G129" i="1"/>
  <c r="G124" i="4" s="1"/>
  <c r="J129" i="1"/>
  <c r="J124" i="4" s="1"/>
  <c r="I129" i="1"/>
  <c r="I124" i="4" s="1"/>
  <c r="G74" i="1"/>
  <c r="G69" i="4" s="1"/>
  <c r="I74" i="1"/>
  <c r="I69" i="4" s="1"/>
  <c r="J74" i="1"/>
  <c r="J69" i="4" s="1"/>
  <c r="J104" i="1"/>
  <c r="J99" i="4" s="1"/>
  <c r="G104" i="1"/>
  <c r="G99" i="4" s="1"/>
  <c r="I104" i="1"/>
  <c r="I99" i="4" s="1"/>
  <c r="J108" i="1"/>
  <c r="J103" i="4" s="1"/>
  <c r="G108" i="1"/>
  <c r="G103" i="4" s="1"/>
  <c r="I108" i="1"/>
  <c r="I103" i="4" s="1"/>
  <c r="G112" i="1"/>
  <c r="G107" i="4" s="1"/>
  <c r="I112" i="1"/>
  <c r="I107" i="4" s="1"/>
  <c r="J112" i="1"/>
  <c r="J107" i="4" s="1"/>
  <c r="G116" i="1"/>
  <c r="G111" i="4" s="1"/>
  <c r="I116" i="1"/>
  <c r="I111" i="4" s="1"/>
  <c r="J116" i="1"/>
  <c r="J111" i="4" s="1"/>
  <c r="G120" i="1"/>
  <c r="G115" i="4" s="1"/>
  <c r="I120" i="1"/>
  <c r="I115" i="4" s="1"/>
  <c r="J120" i="1"/>
  <c r="J115" i="4" s="1"/>
  <c r="I42" i="1"/>
  <c r="I37" i="4" s="1"/>
  <c r="G41" i="1"/>
  <c r="G36" i="4" s="1"/>
  <c r="J41" i="1"/>
  <c r="J36" i="4" s="1"/>
  <c r="J42" i="1"/>
  <c r="J37" i="4" s="1"/>
  <c r="I41" i="1"/>
  <c r="I36" i="4" s="1"/>
  <c r="G125" i="1"/>
  <c r="G120" i="4" s="1"/>
  <c r="I125" i="1"/>
  <c r="I120" i="4" s="1"/>
  <c r="J126" i="1"/>
  <c r="J121" i="4" s="1"/>
  <c r="J125" i="1"/>
  <c r="J120" i="4" s="1"/>
  <c r="J101" i="1"/>
  <c r="J96" i="4" s="1"/>
  <c r="J93" i="1"/>
  <c r="J88" i="4" s="1"/>
  <c r="J85" i="1"/>
  <c r="J80" i="4" s="1"/>
  <c r="I132" i="1"/>
  <c r="I127" i="4" s="1"/>
  <c r="J81" i="1"/>
  <c r="J76" i="4" s="1"/>
  <c r="I87" i="1"/>
  <c r="I82" i="4" s="1"/>
  <c r="I91" i="1"/>
  <c r="I86" i="4" s="1"/>
  <c r="I99" i="1"/>
  <c r="I94" i="4" s="1"/>
  <c r="I52" i="1"/>
  <c r="I47" i="4" s="1"/>
  <c r="J56" i="1"/>
  <c r="J51" i="4" s="1"/>
  <c r="I60" i="1"/>
  <c r="I55" i="4" s="1"/>
  <c r="J64" i="1"/>
  <c r="J59" i="4" s="1"/>
  <c r="J68" i="1"/>
  <c r="J63" i="4" s="1"/>
  <c r="A521" i="1" l="1"/>
  <c r="A515" i="4"/>
  <c r="A14" i="1"/>
  <c r="A8" i="4"/>
  <c r="A15" i="1" l="1"/>
  <c r="A9" i="4"/>
  <c r="A522" i="1"/>
  <c r="A516" i="4"/>
  <c r="A523" i="1" l="1"/>
  <c r="A517" i="4"/>
  <c r="A16" i="1"/>
  <c r="A10" i="4"/>
  <c r="A524" i="1" l="1"/>
  <c r="A518" i="4"/>
  <c r="A17" i="1"/>
  <c r="A11" i="4"/>
  <c r="A18" i="1" l="1"/>
  <c r="A12" i="4"/>
  <c r="A519" i="4"/>
  <c r="A525" i="1"/>
  <c r="A520" i="4" l="1"/>
  <c r="A526" i="1"/>
  <c r="A19" i="1"/>
  <c r="A13" i="4"/>
  <c r="A20" i="1" l="1"/>
  <c r="A14" i="4"/>
  <c r="A521" i="4"/>
  <c r="A527" i="1"/>
  <c r="A522" i="4" l="1"/>
  <c r="A528" i="1"/>
  <c r="A21" i="1"/>
  <c r="A15" i="4"/>
  <c r="A523" i="4" l="1"/>
  <c r="A529" i="1"/>
  <c r="A22" i="1"/>
  <c r="A16" i="4"/>
  <c r="A524" i="4" l="1"/>
  <c r="A530" i="1"/>
  <c r="A23" i="1"/>
  <c r="A17" i="4"/>
  <c r="A525" i="4" l="1"/>
  <c r="A531" i="1"/>
  <c r="A24" i="1"/>
  <c r="A18" i="4"/>
  <c r="A25" i="1" l="1"/>
  <c r="A19" i="4"/>
  <c r="A526" i="4"/>
  <c r="A532" i="1"/>
  <c r="A527" i="4" l="1"/>
  <c r="A533" i="1"/>
  <c r="A26" i="1"/>
  <c r="A20" i="4"/>
  <c r="A27" i="1" l="1"/>
  <c r="A21" i="4"/>
  <c r="A528" i="4"/>
  <c r="A534" i="1"/>
  <c r="A529" i="4" l="1"/>
  <c r="A535" i="1"/>
  <c r="A28" i="1"/>
  <c r="A22" i="4"/>
  <c r="A530" i="4" l="1"/>
  <c r="A536" i="1"/>
  <c r="A29" i="1"/>
  <c r="A23" i="4"/>
  <c r="A531" i="4" l="1"/>
  <c r="A537" i="1"/>
  <c r="A30" i="1"/>
  <c r="A24" i="4"/>
  <c r="A31" i="1" l="1"/>
  <c r="A25" i="4"/>
  <c r="A532" i="4"/>
  <c r="A538" i="1"/>
  <c r="A533" i="4" l="1"/>
  <c r="A539" i="1"/>
  <c r="A32" i="1"/>
  <c r="A26" i="4"/>
  <c r="A33" i="1" l="1"/>
  <c r="A27" i="4"/>
  <c r="A534" i="4"/>
  <c r="A540" i="1"/>
  <c r="A535" i="4" l="1"/>
  <c r="A541" i="1"/>
  <c r="A34" i="1"/>
  <c r="A28" i="4"/>
  <c r="A35" i="1" l="1"/>
  <c r="A29" i="4"/>
  <c r="A536" i="4"/>
  <c r="A542" i="1"/>
  <c r="A537" i="4" l="1"/>
  <c r="A543" i="1"/>
  <c r="A36" i="1"/>
  <c r="A30" i="4"/>
  <c r="A538" i="4" l="1"/>
  <c r="A544" i="1"/>
  <c r="A37" i="1"/>
  <c r="A31" i="4"/>
  <c r="A38" i="1" l="1"/>
  <c r="A32" i="4"/>
  <c r="A539" i="4"/>
  <c r="A545" i="1"/>
  <c r="A540" i="4" l="1"/>
  <c r="A546" i="1"/>
  <c r="A39" i="1"/>
  <c r="A33" i="4"/>
  <c r="A541" i="4" l="1"/>
  <c r="A547" i="1"/>
  <c r="A40" i="1"/>
  <c r="A34" i="4"/>
  <c r="A41" i="1" l="1"/>
  <c r="A35" i="4"/>
  <c r="A542" i="4"/>
  <c r="A548" i="1"/>
  <c r="A543" i="4" l="1"/>
  <c r="A549" i="1"/>
  <c r="A42" i="1"/>
  <c r="A36" i="4"/>
  <c r="A37" i="4" l="1"/>
  <c r="A43" i="1"/>
  <c r="A544" i="4"/>
  <c r="A550" i="1"/>
  <c r="A545" i="4" l="1"/>
  <c r="A551" i="1"/>
  <c r="A44" i="1"/>
  <c r="A38" i="4"/>
  <c r="A546" i="4" l="1"/>
  <c r="A552" i="1"/>
  <c r="A39" i="4"/>
  <c r="A45" i="1"/>
  <c r="A46" i="1" l="1"/>
  <c r="A40" i="4"/>
  <c r="A547" i="4"/>
  <c r="A553" i="1"/>
  <c r="A548" i="4" l="1"/>
  <c r="A554" i="1"/>
  <c r="A41" i="4"/>
  <c r="A47" i="1"/>
  <c r="A48" i="1" l="1"/>
  <c r="A42" i="4"/>
  <c r="A549" i="4"/>
  <c r="A555" i="1"/>
  <c r="A550" i="4" l="1"/>
  <c r="A556" i="1"/>
  <c r="A49" i="1"/>
  <c r="A43" i="4"/>
  <c r="A50" i="1" l="1"/>
  <c r="A44" i="4"/>
  <c r="A551" i="4"/>
  <c r="A557" i="1"/>
  <c r="A552" i="4" l="1"/>
  <c r="A558" i="1"/>
  <c r="A51" i="1"/>
  <c r="A45" i="4"/>
  <c r="A553" i="4" l="1"/>
  <c r="A559" i="1"/>
  <c r="A52" i="1"/>
  <c r="A46" i="4"/>
  <c r="A53" i="1" l="1"/>
  <c r="A47" i="4"/>
  <c r="A554" i="4"/>
  <c r="A560" i="1"/>
  <c r="A555" i="4" l="1"/>
  <c r="A561" i="1"/>
  <c r="A54" i="1"/>
  <c r="A48" i="4"/>
  <c r="A55" i="1" l="1"/>
  <c r="A49" i="4"/>
  <c r="A556" i="4"/>
  <c r="A562" i="1"/>
  <c r="A557" i="4" l="1"/>
  <c r="A563" i="1"/>
  <c r="A56" i="1"/>
  <c r="A50" i="4"/>
  <c r="A57" i="1" l="1"/>
  <c r="A51" i="4"/>
  <c r="A558" i="4"/>
  <c r="A564" i="1"/>
  <c r="A559" i="4" l="1"/>
  <c r="A565" i="1"/>
  <c r="A58" i="1"/>
  <c r="A52" i="4"/>
  <c r="A560" i="4" l="1"/>
  <c r="A566" i="1"/>
  <c r="A59" i="1"/>
  <c r="A53" i="4"/>
  <c r="A561" i="4" l="1"/>
  <c r="A567" i="1"/>
  <c r="A60" i="1"/>
  <c r="A54" i="4"/>
  <c r="A61" i="1" l="1"/>
  <c r="A55" i="4"/>
  <c r="A562" i="4"/>
  <c r="A568" i="1"/>
  <c r="A563" i="4" l="1"/>
  <c r="A569" i="1"/>
  <c r="A62" i="1"/>
  <c r="A56" i="4"/>
  <c r="A63" i="1" l="1"/>
  <c r="A57" i="4"/>
  <c r="A564" i="4"/>
  <c r="A570" i="1"/>
  <c r="A565" i="4" l="1"/>
  <c r="A571" i="1"/>
  <c r="A64" i="1"/>
  <c r="A58" i="4"/>
  <c r="A566" i="4" l="1"/>
  <c r="A572" i="1"/>
  <c r="A65" i="1"/>
  <c r="A59" i="4"/>
  <c r="A66" i="1" l="1"/>
  <c r="A60" i="4"/>
  <c r="A567" i="4"/>
  <c r="A573" i="1"/>
  <c r="A568" i="4" l="1"/>
  <c r="A574" i="1"/>
  <c r="A67" i="1"/>
  <c r="A61" i="4"/>
  <c r="A68" i="1" l="1"/>
  <c r="A62" i="4"/>
  <c r="A569" i="4"/>
  <c r="A575" i="1"/>
  <c r="A570" i="4" l="1"/>
  <c r="A576" i="1"/>
  <c r="A69" i="1"/>
  <c r="A63" i="4"/>
  <c r="A70" i="1" l="1"/>
  <c r="A64" i="4"/>
  <c r="A571" i="4"/>
  <c r="A577" i="1"/>
  <c r="A578" i="1" l="1"/>
  <c r="A572" i="4"/>
  <c r="A71" i="1"/>
  <c r="A65" i="4"/>
  <c r="A72" i="1" l="1"/>
  <c r="A66" i="4"/>
  <c r="A579" i="1"/>
  <c r="A573" i="4"/>
  <c r="A580" i="1" l="1"/>
  <c r="A574" i="4"/>
  <c r="A73" i="1"/>
  <c r="A67" i="4"/>
  <c r="A74" i="1" l="1"/>
  <c r="A68" i="4"/>
  <c r="A581" i="1"/>
  <c r="A575" i="4"/>
  <c r="A582" i="1" l="1"/>
  <c r="A576" i="4"/>
  <c r="A75" i="1"/>
  <c r="A69" i="4"/>
  <c r="A76" i="1" l="1"/>
  <c r="A70" i="4"/>
  <c r="A583" i="1"/>
  <c r="A577" i="4"/>
  <c r="A584" i="1" l="1"/>
  <c r="A578" i="4"/>
  <c r="A77" i="1"/>
  <c r="A71" i="4"/>
  <c r="A78" i="1" l="1"/>
  <c r="A72" i="4"/>
  <c r="A585" i="1"/>
  <c r="A579" i="4"/>
  <c r="A586" i="1" l="1"/>
  <c r="A580" i="4"/>
  <c r="A79" i="1"/>
  <c r="A73" i="4"/>
  <c r="A80" i="1" l="1"/>
  <c r="A74" i="4"/>
  <c r="A587" i="1"/>
  <c r="A581" i="4"/>
  <c r="A588" i="1" l="1"/>
  <c r="A582" i="4"/>
  <c r="A81" i="1"/>
  <c r="A75" i="4"/>
  <c r="A82" i="1" l="1"/>
  <c r="A76" i="4"/>
  <c r="A589" i="1"/>
  <c r="A583" i="4"/>
  <c r="A590" i="1" l="1"/>
  <c r="A584" i="4"/>
  <c r="A83" i="1"/>
  <c r="A77" i="4"/>
  <c r="A84" i="1" l="1"/>
  <c r="A78" i="4"/>
  <c r="A591" i="1"/>
  <c r="A585" i="4"/>
  <c r="A592" i="1" l="1"/>
  <c r="A586" i="4"/>
  <c r="A85" i="1"/>
  <c r="A79" i="4"/>
  <c r="A86" i="1" l="1"/>
  <c r="A80" i="4"/>
  <c r="A593" i="1"/>
  <c r="A587" i="4"/>
  <c r="A594" i="1" l="1"/>
  <c r="A588" i="4"/>
  <c r="A87" i="1"/>
  <c r="A81" i="4"/>
  <c r="A88" i="1" l="1"/>
  <c r="A82" i="4"/>
  <c r="A595" i="1"/>
  <c r="A589" i="4"/>
  <c r="A596" i="1" l="1"/>
  <c r="A590" i="4"/>
  <c r="A89" i="1"/>
  <c r="A83" i="4"/>
  <c r="A90" i="1" l="1"/>
  <c r="A84" i="4"/>
  <c r="A597" i="1"/>
  <c r="A591" i="4"/>
  <c r="A598" i="1" l="1"/>
  <c r="A592" i="4"/>
  <c r="A91" i="1"/>
  <c r="A85" i="4"/>
  <c r="A92" i="1" l="1"/>
  <c r="A86" i="4"/>
  <c r="A599" i="1"/>
  <c r="A593" i="4"/>
  <c r="A600" i="1" l="1"/>
  <c r="A594" i="4"/>
  <c r="A93" i="1"/>
  <c r="A87" i="4"/>
  <c r="A94" i="1" l="1"/>
  <c r="A88" i="4"/>
  <c r="A601" i="1"/>
  <c r="A595" i="4"/>
  <c r="A602" i="1" l="1"/>
  <c r="A596" i="4"/>
  <c r="A95" i="1"/>
  <c r="A89" i="4"/>
  <c r="A96" i="1" l="1"/>
  <c r="A90" i="4"/>
  <c r="A603" i="1"/>
  <c r="A597" i="4"/>
  <c r="A604" i="1" l="1"/>
  <c r="A598" i="4"/>
  <c r="A97" i="1"/>
  <c r="A91" i="4"/>
  <c r="A98" i="1" l="1"/>
  <c r="A92" i="4"/>
  <c r="A605" i="1"/>
  <c r="A599" i="4"/>
  <c r="A606" i="1" l="1"/>
  <c r="A600" i="4"/>
  <c r="A99" i="1"/>
  <c r="A93" i="4"/>
  <c r="A100" i="1" l="1"/>
  <c r="A94" i="4"/>
  <c r="A607" i="1"/>
  <c r="A601" i="4"/>
  <c r="A608" i="1" l="1"/>
  <c r="A602" i="4"/>
  <c r="A101" i="1"/>
  <c r="A95" i="4"/>
  <c r="A102" i="1" l="1"/>
  <c r="A96" i="4"/>
  <c r="A609" i="1"/>
  <c r="A603" i="4"/>
  <c r="A610" i="1" l="1"/>
  <c r="A604" i="4"/>
  <c r="A103" i="1"/>
  <c r="A97" i="4"/>
  <c r="A104" i="1" l="1"/>
  <c r="A98" i="4"/>
  <c r="A611" i="1"/>
  <c r="A605" i="4"/>
  <c r="A612" i="1" l="1"/>
  <c r="A606" i="4"/>
  <c r="A105" i="1"/>
  <c r="A99" i="4"/>
  <c r="A106" i="1" l="1"/>
  <c r="A100" i="4"/>
  <c r="A613" i="1"/>
  <c r="A607" i="4"/>
  <c r="A614" i="1" l="1"/>
  <c r="A608" i="4"/>
  <c r="A107" i="1"/>
  <c r="A101" i="4"/>
  <c r="A108" i="1" l="1"/>
  <c r="A102" i="4"/>
  <c r="A615" i="1"/>
  <c r="A609" i="4"/>
  <c r="A616" i="1" l="1"/>
  <c r="A610" i="4"/>
  <c r="A109" i="1"/>
  <c r="A103" i="4"/>
  <c r="A110" i="1" l="1"/>
  <c r="A104" i="4"/>
  <c r="A617" i="1"/>
  <c r="A611" i="4"/>
  <c r="A618" i="1" l="1"/>
  <c r="A612" i="4"/>
  <c r="A111" i="1"/>
  <c r="A105" i="4"/>
  <c r="A112" i="1" l="1"/>
  <c r="A106" i="4"/>
  <c r="A619" i="1"/>
  <c r="A613" i="4"/>
  <c r="A620" i="1" l="1"/>
  <c r="A614" i="4"/>
  <c r="A113" i="1"/>
  <c r="A107" i="4"/>
  <c r="A114" i="1" l="1"/>
  <c r="A108" i="4"/>
  <c r="A621" i="1"/>
  <c r="A615" i="4"/>
  <c r="A622" i="1" l="1"/>
  <c r="A616" i="4"/>
  <c r="A115" i="1"/>
  <c r="A109" i="4"/>
  <c r="A116" i="1" l="1"/>
  <c r="A110" i="4"/>
  <c r="A623" i="1"/>
  <c r="A617" i="4"/>
  <c r="A624" i="1" l="1"/>
  <c r="A618" i="4"/>
  <c r="A117" i="1"/>
  <c r="A111" i="4"/>
  <c r="A118" i="1" l="1"/>
  <c r="A112" i="4"/>
  <c r="A625" i="1"/>
  <c r="A619" i="4"/>
  <c r="A626" i="1" l="1"/>
  <c r="A620" i="4"/>
  <c r="A119" i="1"/>
  <c r="A113" i="4"/>
  <c r="A120" i="1" l="1"/>
  <c r="A114" i="4"/>
  <c r="A627" i="1"/>
  <c r="A621" i="4"/>
  <c r="A628" i="1" l="1"/>
  <c r="A622" i="4"/>
  <c r="A121" i="1"/>
  <c r="A115" i="4"/>
  <c r="A122" i="1" l="1"/>
  <c r="A116" i="4"/>
  <c r="A629" i="1"/>
  <c r="A623" i="4"/>
  <c r="A630" i="1" l="1"/>
  <c r="A624" i="4"/>
  <c r="A123" i="1"/>
  <c r="A117" i="4"/>
  <c r="A124" i="1" l="1"/>
  <c r="A118" i="4"/>
  <c r="A631" i="1"/>
  <c r="A625" i="4"/>
  <c r="A632" i="1" l="1"/>
  <c r="A626" i="4"/>
  <c r="A125" i="1"/>
  <c r="A119" i="4"/>
  <c r="A126" i="1" l="1"/>
  <c r="A120" i="4"/>
  <c r="A633" i="1"/>
  <c r="A627" i="4"/>
  <c r="A634" i="1" l="1"/>
  <c r="A628" i="4"/>
  <c r="A127" i="1"/>
  <c r="A121" i="4"/>
  <c r="A128" i="1" l="1"/>
  <c r="A122" i="4"/>
  <c r="A635" i="1"/>
  <c r="A629" i="4"/>
  <c r="A636" i="1" l="1"/>
  <c r="A630" i="4"/>
  <c r="A129" i="1"/>
  <c r="A123" i="4"/>
  <c r="A130" i="1" l="1"/>
  <c r="A124" i="4"/>
  <c r="A637" i="1"/>
  <c r="A631" i="4"/>
  <c r="A638" i="1" l="1"/>
  <c r="A632" i="4"/>
  <c r="A131" i="1"/>
  <c r="A125" i="4"/>
  <c r="A132" i="1" l="1"/>
  <c r="A126" i="4"/>
  <c r="A639" i="1"/>
  <c r="A633" i="4"/>
  <c r="A640" i="1" l="1"/>
  <c r="A634" i="4"/>
  <c r="A133" i="1"/>
  <c r="A127" i="4"/>
  <c r="A134" i="1" l="1"/>
  <c r="A128" i="4"/>
  <c r="A641" i="1"/>
  <c r="A635" i="4"/>
  <c r="A642" i="1" l="1"/>
  <c r="A636" i="4"/>
  <c r="A135" i="1"/>
  <c r="A129" i="4"/>
  <c r="A136" i="1" l="1"/>
  <c r="A130" i="4"/>
  <c r="A643" i="1"/>
  <c r="A637" i="4"/>
  <c r="A644" i="1" l="1"/>
  <c r="A638" i="4"/>
  <c r="A137" i="1"/>
  <c r="A131" i="4"/>
  <c r="A138" i="1" l="1"/>
  <c r="A132" i="4"/>
  <c r="A645" i="1"/>
  <c r="A639" i="4"/>
  <c r="A646" i="1" l="1"/>
  <c r="A640" i="4"/>
  <c r="A139" i="1"/>
  <c r="A133" i="4"/>
  <c r="A140" i="1" l="1"/>
  <c r="A134" i="4"/>
  <c r="A647" i="1"/>
  <c r="A641" i="4"/>
  <c r="A648" i="1" l="1"/>
  <c r="A642" i="4"/>
  <c r="A141" i="1"/>
  <c r="A135" i="4"/>
  <c r="A142" i="1" l="1"/>
  <c r="A136" i="4"/>
  <c r="A649" i="1"/>
  <c r="A643" i="4"/>
  <c r="A650" i="1" l="1"/>
  <c r="A644" i="4"/>
  <c r="A143" i="1"/>
  <c r="A137" i="4"/>
  <c r="A144" i="1" l="1"/>
  <c r="A138" i="4"/>
  <c r="A651" i="1"/>
  <c r="A645" i="4"/>
  <c r="A652" i="1" l="1"/>
  <c r="A646" i="4"/>
  <c r="A145" i="1"/>
  <c r="A139" i="4"/>
  <c r="A146" i="1" l="1"/>
  <c r="A140" i="4"/>
  <c r="A653" i="1"/>
  <c r="A647" i="4"/>
  <c r="A654" i="1" l="1"/>
  <c r="A648" i="4"/>
  <c r="A147" i="1"/>
  <c r="A141" i="4"/>
  <c r="A148" i="1" l="1"/>
  <c r="A142" i="4"/>
  <c r="A655" i="1"/>
  <c r="A649" i="4"/>
  <c r="A656" i="1" l="1"/>
  <c r="A650" i="4"/>
  <c r="A149" i="1"/>
  <c r="A143" i="4"/>
  <c r="A150" i="1" l="1"/>
  <c r="A144" i="4"/>
  <c r="A657" i="1"/>
  <c r="A651" i="4"/>
  <c r="A658" i="1" l="1"/>
  <c r="A652" i="4"/>
  <c r="A151" i="1"/>
  <c r="A145" i="4"/>
  <c r="A152" i="1" l="1"/>
  <c r="A146" i="4"/>
  <c r="A659" i="1"/>
  <c r="A653" i="4"/>
  <c r="A660" i="1" l="1"/>
  <c r="A654" i="4"/>
  <c r="A153" i="1"/>
  <c r="A147" i="4"/>
  <c r="A154" i="1" l="1"/>
  <c r="A148" i="4"/>
  <c r="A661" i="1"/>
  <c r="A662" i="1" s="1"/>
  <c r="A655" i="4"/>
  <c r="A656" i="4" l="1"/>
  <c r="A155" i="1"/>
  <c r="A149" i="4"/>
  <c r="A156" i="1" l="1"/>
  <c r="A150" i="4"/>
  <c r="A663" i="1"/>
  <c r="A657" i="4"/>
  <c r="A664" i="1" l="1"/>
  <c r="A658" i="4"/>
  <c r="A157" i="1"/>
  <c r="A151" i="4"/>
  <c r="A158" i="1" l="1"/>
  <c r="A152" i="4"/>
  <c r="A665" i="1"/>
  <c r="A659" i="4"/>
  <c r="A666" i="1" l="1"/>
  <c r="A660" i="4"/>
  <c r="A159" i="1"/>
  <c r="A153" i="4"/>
  <c r="A160" i="1" l="1"/>
  <c r="A154" i="4"/>
  <c r="A667" i="1"/>
  <c r="A661" i="4"/>
  <c r="A668" i="1" l="1"/>
  <c r="A662" i="4"/>
  <c r="A161" i="1"/>
  <c r="A155" i="4"/>
  <c r="A162" i="1" l="1"/>
  <c r="A156" i="4"/>
  <c r="A669" i="1"/>
  <c r="A663" i="4"/>
  <c r="A670" i="1" l="1"/>
  <c r="A664" i="4"/>
  <c r="A163" i="1"/>
  <c r="A157" i="4"/>
  <c r="A164" i="1" l="1"/>
  <c r="A158" i="4"/>
  <c r="A671" i="1"/>
  <c r="A665" i="4"/>
  <c r="A672" i="1" l="1"/>
  <c r="A666" i="4"/>
  <c r="A165" i="1"/>
  <c r="A159" i="4"/>
  <c r="A166" i="1" l="1"/>
  <c r="A160" i="4"/>
  <c r="A673" i="1"/>
  <c r="A667" i="4"/>
  <c r="A167" i="1" l="1"/>
  <c r="A161" i="4"/>
  <c r="A674" i="1"/>
  <c r="A668" i="4"/>
  <c r="A675" i="1" l="1"/>
  <c r="A669" i="4"/>
  <c r="A168" i="1"/>
  <c r="A162" i="4"/>
  <c r="A169" i="1" l="1"/>
  <c r="A163" i="4"/>
  <c r="A676" i="1"/>
  <c r="A670" i="4"/>
  <c r="A677" i="1" l="1"/>
  <c r="A671" i="4"/>
  <c r="A170" i="1"/>
  <c r="A164" i="4"/>
  <c r="A171" i="1" l="1"/>
  <c r="A165" i="4"/>
  <c r="A678" i="1"/>
  <c r="A672" i="4"/>
  <c r="A679" i="1" l="1"/>
  <c r="A673" i="4"/>
  <c r="A172" i="1"/>
  <c r="A166" i="4"/>
  <c r="A173" i="1" l="1"/>
  <c r="A167" i="4"/>
  <c r="A680" i="1"/>
  <c r="A674" i="4"/>
  <c r="A681" i="1" l="1"/>
  <c r="A675" i="4"/>
  <c r="A174" i="1"/>
  <c r="A168" i="4"/>
  <c r="A175" i="1" l="1"/>
  <c r="A169" i="4"/>
  <c r="A682" i="1"/>
  <c r="A676" i="4"/>
  <c r="A683" i="1" l="1"/>
  <c r="A677" i="4"/>
  <c r="A176" i="1"/>
  <c r="A170" i="4"/>
  <c r="A177" i="1" l="1"/>
  <c r="A171" i="4"/>
  <c r="A684" i="1"/>
  <c r="A678" i="4"/>
  <c r="A685" i="1" l="1"/>
  <c r="A679" i="4"/>
  <c r="A178" i="1"/>
  <c r="A172" i="4"/>
  <c r="A179" i="1" l="1"/>
  <c r="A173" i="4"/>
  <c r="A686" i="1"/>
  <c r="A680" i="4"/>
  <c r="A687" i="1" l="1"/>
  <c r="A681" i="4"/>
  <c r="A180" i="1"/>
  <c r="A174" i="4"/>
  <c r="A181" i="1" l="1"/>
  <c r="A175" i="4"/>
  <c r="A688" i="1"/>
  <c r="A682" i="4"/>
  <c r="A689" i="1" l="1"/>
  <c r="A683" i="4"/>
  <c r="A182" i="1"/>
  <c r="A176" i="4"/>
  <c r="A183" i="1" l="1"/>
  <c r="A177" i="4"/>
  <c r="A690" i="1"/>
  <c r="A684" i="4"/>
  <c r="A691" i="1" l="1"/>
  <c r="A685" i="4"/>
  <c r="A184" i="1"/>
  <c r="A178" i="4"/>
  <c r="A185" i="1" l="1"/>
  <c r="A179" i="4"/>
  <c r="A692" i="1"/>
  <c r="A686" i="4"/>
  <c r="A693" i="1" l="1"/>
  <c r="A687" i="4"/>
  <c r="A186" i="1"/>
  <c r="A180" i="4"/>
  <c r="A187" i="1" l="1"/>
  <c r="A181" i="4"/>
  <c r="A694" i="1"/>
  <c r="A688" i="4"/>
  <c r="A695" i="1" l="1"/>
  <c r="A689" i="4"/>
  <c r="A188" i="1"/>
  <c r="A182" i="4"/>
  <c r="A189" i="1" l="1"/>
  <c r="A183" i="4"/>
  <c r="A696" i="1"/>
  <c r="A690" i="4"/>
  <c r="A697" i="1" l="1"/>
  <c r="A691" i="4"/>
  <c r="A190" i="1"/>
  <c r="A184" i="4"/>
  <c r="A191" i="1" l="1"/>
  <c r="A185" i="4"/>
  <c r="A698" i="1"/>
  <c r="A692" i="4"/>
  <c r="A699" i="1" l="1"/>
  <c r="A693" i="4"/>
  <c r="A192" i="1"/>
  <c r="A186" i="4"/>
  <c r="A193" i="1" l="1"/>
  <c r="A187" i="4"/>
  <c r="A700" i="1"/>
  <c r="A694" i="4"/>
  <c r="A701" i="1" l="1"/>
  <c r="A695" i="4"/>
  <c r="A194" i="1"/>
  <c r="A188" i="4"/>
  <c r="A195" i="1" l="1"/>
  <c r="A189" i="4"/>
  <c r="A702" i="1"/>
  <c r="A696" i="4"/>
  <c r="A703" i="1" l="1"/>
  <c r="A697" i="4"/>
  <c r="A196" i="1"/>
  <c r="A190" i="4"/>
  <c r="A197" i="1" l="1"/>
  <c r="A191" i="4"/>
  <c r="A704" i="1"/>
  <c r="A698" i="4"/>
  <c r="A705" i="1" l="1"/>
  <c r="A699" i="4"/>
  <c r="A198" i="1"/>
  <c r="A192" i="4"/>
  <c r="A199" i="1" l="1"/>
  <c r="A193" i="4"/>
  <c r="A706" i="1"/>
  <c r="A700" i="4"/>
  <c r="A707" i="1" l="1"/>
  <c r="A701" i="4"/>
  <c r="A200" i="1"/>
  <c r="A194" i="4"/>
  <c r="A201" i="1" l="1"/>
  <c r="A195" i="4"/>
  <c r="A708" i="1"/>
  <c r="A702" i="4"/>
  <c r="A709" i="1" l="1"/>
  <c r="A703" i="4"/>
  <c r="A202" i="1"/>
  <c r="A196" i="4"/>
  <c r="A203" i="1" l="1"/>
  <c r="A197" i="4"/>
  <c r="A710" i="1"/>
  <c r="A704" i="4"/>
  <c r="A711" i="1" l="1"/>
  <c r="A705" i="4"/>
  <c r="A204" i="1"/>
  <c r="A198" i="4"/>
  <c r="A205" i="1" l="1"/>
  <c r="A199" i="4"/>
  <c r="A712" i="1"/>
  <c r="A706" i="4"/>
  <c r="A713" i="1" l="1"/>
  <c r="A707" i="4"/>
  <c r="A206" i="1"/>
  <c r="A200" i="4"/>
  <c r="A207" i="1" l="1"/>
  <c r="A201" i="4"/>
  <c r="A714" i="1"/>
  <c r="A708" i="4"/>
  <c r="A715" i="1" l="1"/>
  <c r="A709" i="4"/>
  <c r="A208" i="1"/>
  <c r="A202" i="4"/>
  <c r="A209" i="1" l="1"/>
  <c r="A203" i="4"/>
  <c r="A716" i="1"/>
  <c r="A710" i="4"/>
  <c r="A717" i="1" l="1"/>
  <c r="A711" i="4"/>
  <c r="A210" i="1"/>
  <c r="A204" i="4"/>
  <c r="A211" i="1" l="1"/>
  <c r="A205" i="4"/>
  <c r="A718" i="1"/>
  <c r="A712" i="4"/>
  <c r="A719" i="1" l="1"/>
  <c r="A713" i="4"/>
  <c r="A212" i="1"/>
  <c r="A206" i="4"/>
  <c r="A213" i="1" l="1"/>
  <c r="A207" i="4"/>
  <c r="A720" i="1"/>
  <c r="A714" i="4"/>
  <c r="A721" i="1" l="1"/>
  <c r="A715" i="4"/>
  <c r="A214" i="1"/>
  <c r="A208" i="4"/>
  <c r="A215" i="1" l="1"/>
  <c r="A209" i="4"/>
  <c r="A722" i="1"/>
  <c r="A716" i="4"/>
  <c r="A723" i="1" l="1"/>
  <c r="A724" i="1" s="1"/>
  <c r="A717" i="4"/>
  <c r="A216" i="1"/>
  <c r="A210" i="4"/>
  <c r="A217" i="1" l="1"/>
  <c r="A211" i="4"/>
  <c r="A718" i="4"/>
  <c r="A725" i="1" l="1"/>
  <c r="A719" i="4"/>
  <c r="A218" i="1"/>
  <c r="A212" i="4"/>
  <c r="A219" i="1" l="1"/>
  <c r="A213" i="4"/>
  <c r="A726" i="1"/>
  <c r="A720" i="4"/>
  <c r="A727" i="1" l="1"/>
  <c r="A721" i="4"/>
  <c r="A220" i="1"/>
  <c r="A214" i="4"/>
  <c r="A221" i="1" l="1"/>
  <c r="A215" i="4"/>
  <c r="A728" i="1"/>
  <c r="A722" i="4"/>
  <c r="A729" i="1" l="1"/>
  <c r="A723" i="4"/>
  <c r="A222" i="1"/>
  <c r="A216" i="4"/>
  <c r="A223" i="1" l="1"/>
  <c r="A217" i="4"/>
  <c r="A730" i="1"/>
  <c r="A724" i="4"/>
  <c r="A731" i="1" l="1"/>
  <c r="A725" i="4"/>
  <c r="A224" i="1"/>
  <c r="A218" i="4"/>
  <c r="A225" i="1" l="1"/>
  <c r="A219" i="4"/>
  <c r="A732" i="1"/>
  <c r="A733" i="1" s="1"/>
  <c r="A726" i="4"/>
  <c r="A727" i="4" l="1"/>
  <c r="A226" i="1"/>
  <c r="A220" i="4"/>
  <c r="A227" i="1" l="1"/>
  <c r="A221" i="4"/>
  <c r="A734" i="1"/>
  <c r="A728" i="4"/>
  <c r="A735" i="1" l="1"/>
  <c r="A729" i="4"/>
  <c r="A228" i="1"/>
  <c r="A222" i="4"/>
  <c r="A229" i="1" l="1"/>
  <c r="A223" i="4"/>
  <c r="A736" i="1"/>
  <c r="A730" i="4"/>
  <c r="A737" i="1" l="1"/>
  <c r="A731" i="4"/>
  <c r="A230" i="1"/>
  <c r="A224" i="4"/>
  <c r="A231" i="1" l="1"/>
  <c r="A225" i="4"/>
  <c r="A738" i="1"/>
  <c r="A732" i="4"/>
  <c r="A739" i="1" l="1"/>
  <c r="A733" i="4"/>
  <c r="A232" i="1"/>
  <c r="A226" i="4"/>
  <c r="A233" i="1" l="1"/>
  <c r="A227" i="4"/>
  <c r="A740" i="1"/>
  <c r="A734" i="4"/>
  <c r="A741" i="1" l="1"/>
  <c r="A735" i="4"/>
  <c r="A234" i="1"/>
  <c r="A228" i="4"/>
  <c r="A235" i="1" l="1"/>
  <c r="A229" i="4"/>
  <c r="A742" i="1"/>
  <c r="A736" i="4"/>
  <c r="A743" i="1" l="1"/>
  <c r="A737" i="4"/>
  <c r="A236" i="1"/>
  <c r="A230" i="4"/>
  <c r="A237" i="1" l="1"/>
  <c r="A231" i="4"/>
  <c r="A744" i="1"/>
  <c r="A738" i="4"/>
  <c r="A745" i="1" l="1"/>
  <c r="A739" i="4"/>
  <c r="A238" i="1"/>
  <c r="A232" i="4"/>
  <c r="A239" i="1" l="1"/>
  <c r="A233" i="4"/>
  <c r="A746" i="1"/>
  <c r="A747" i="1" s="1"/>
  <c r="A740" i="4"/>
  <c r="A741" i="4" l="1"/>
  <c r="A240" i="1"/>
  <c r="A234" i="4"/>
  <c r="A241" i="1" l="1"/>
  <c r="A235" i="4"/>
  <c r="A748" i="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742" i="4"/>
  <c r="A743" i="4" l="1"/>
  <c r="A242" i="1"/>
  <c r="A236" i="4"/>
  <c r="A243" i="1" l="1"/>
  <c r="A237" i="4"/>
  <c r="A244" i="1" l="1"/>
  <c r="A238" i="4"/>
  <c r="A245" i="1" l="1"/>
  <c r="A239" i="4"/>
  <c r="A246" i="1" l="1"/>
  <c r="A240" i="4"/>
  <c r="A247" i="1" l="1"/>
  <c r="A241" i="4"/>
  <c r="A248" i="1" l="1"/>
  <c r="A242" i="4"/>
  <c r="A249" i="1" l="1"/>
  <c r="A243" i="4"/>
  <c r="A250" i="1" l="1"/>
  <c r="A244" i="4"/>
  <c r="A251" i="1" l="1"/>
  <c r="A245" i="4"/>
  <c r="A252" i="1" l="1"/>
  <c r="A246" i="4"/>
  <c r="A253" i="1" l="1"/>
  <c r="A247" i="4"/>
  <c r="A254" i="1" l="1"/>
  <c r="A248" i="4"/>
  <c r="A255" i="1" l="1"/>
  <c r="A249" i="4"/>
  <c r="A256" i="1" l="1"/>
  <c r="A250" i="4"/>
  <c r="A257" i="1" l="1"/>
  <c r="A251" i="4"/>
  <c r="A258" i="1" l="1"/>
  <c r="A252" i="4"/>
  <c r="A259" i="1" l="1"/>
  <c r="A253" i="4"/>
  <c r="A260" i="1" l="1"/>
  <c r="A254" i="4"/>
  <c r="A261" i="1" l="1"/>
  <c r="A255" i="4"/>
  <c r="A262" i="1" l="1"/>
  <c r="A256" i="4"/>
  <c r="A263" i="1" l="1"/>
  <c r="A257" i="4"/>
  <c r="A264" i="1" l="1"/>
  <c r="A258" i="4"/>
  <c r="A265" i="1" l="1"/>
  <c r="A259" i="4"/>
  <c r="A266" i="1" l="1"/>
  <c r="A260" i="4"/>
  <c r="A267" i="1" l="1"/>
  <c r="A261" i="4"/>
  <c r="A268" i="1" l="1"/>
  <c r="A262" i="4"/>
  <c r="A269" i="1" l="1"/>
  <c r="A263" i="4"/>
  <c r="A270" i="1" l="1"/>
  <c r="A264" i="4"/>
  <c r="A271" i="1" l="1"/>
  <c r="A265" i="4"/>
  <c r="A272" i="1" l="1"/>
  <c r="A266" i="4"/>
  <c r="A273" i="1" l="1"/>
  <c r="A267" i="4"/>
  <c r="A274" i="1" l="1"/>
  <c r="A268" i="4"/>
  <c r="A275" i="1" l="1"/>
  <c r="A269" i="4"/>
  <c r="A276" i="1" l="1"/>
  <c r="A270" i="4"/>
  <c r="A277" i="1" l="1"/>
  <c r="A271" i="4"/>
  <c r="A278" i="1" l="1"/>
  <c r="A272" i="4"/>
  <c r="A279" i="1" l="1"/>
  <c r="A273" i="4"/>
  <c r="A280" i="1" l="1"/>
  <c r="A274" i="4"/>
  <c r="A281" i="1" l="1"/>
  <c r="A275" i="4"/>
  <c r="A282" i="1" l="1"/>
  <c r="A276" i="4"/>
  <c r="A283" i="1" l="1"/>
  <c r="A277" i="4"/>
  <c r="A284" i="1" l="1"/>
  <c r="A278" i="4"/>
  <c r="A285" i="1" l="1"/>
  <c r="A279" i="4"/>
  <c r="A286" i="1" l="1"/>
  <c r="A280" i="4"/>
  <c r="A287" i="1" l="1"/>
  <c r="A281" i="4"/>
  <c r="A288" i="1" l="1"/>
  <c r="A282" i="4"/>
  <c r="A289" i="1" l="1"/>
  <c r="A283" i="4"/>
  <c r="A290" i="1" l="1"/>
  <c r="A284" i="4"/>
  <c r="A291" i="1" l="1"/>
  <c r="A285" i="4"/>
  <c r="A292" i="1" l="1"/>
  <c r="A286" i="4"/>
  <c r="A293" i="1" l="1"/>
  <c r="A287" i="4"/>
  <c r="A294" i="1" l="1"/>
  <c r="A288" i="4"/>
  <c r="A295" i="1" l="1"/>
  <c r="A289" i="4"/>
  <c r="A296" i="1" l="1"/>
  <c r="A290" i="4"/>
  <c r="A297" i="1" l="1"/>
  <c r="A291" i="4"/>
  <c r="A298" i="1" l="1"/>
  <c r="A292" i="4"/>
  <c r="A299" i="1" l="1"/>
  <c r="A293" i="4"/>
  <c r="A300" i="1" l="1"/>
  <c r="A294" i="4"/>
  <c r="A301" i="1" l="1"/>
  <c r="A295" i="4"/>
  <c r="A302" i="1" l="1"/>
  <c r="A296" i="4"/>
  <c r="A303" i="1" l="1"/>
  <c r="A297" i="4"/>
  <c r="A304" i="1" l="1"/>
  <c r="A298" i="4"/>
  <c r="A305" i="1" l="1"/>
  <c r="A299" i="4"/>
  <c r="A306" i="1" l="1"/>
  <c r="A300" i="4"/>
  <c r="A307" i="1" l="1"/>
  <c r="A301" i="4"/>
  <c r="A308" i="1" l="1"/>
  <c r="A302" i="4"/>
  <c r="A309" i="1" l="1"/>
  <c r="A303" i="4"/>
  <c r="A310" i="1" l="1"/>
  <c r="A304" i="4"/>
  <c r="A311" i="1" l="1"/>
  <c r="A305" i="4"/>
  <c r="A312" i="1" l="1"/>
  <c r="A306" i="4"/>
  <c r="A313" i="1" l="1"/>
  <c r="A307" i="4"/>
  <c r="A314" i="1" l="1"/>
  <c r="A308" i="4"/>
  <c r="A315" i="1" l="1"/>
  <c r="A309" i="4"/>
  <c r="A316" i="1" l="1"/>
  <c r="A310" i="4"/>
  <c r="A317" i="1" l="1"/>
  <c r="A311" i="4"/>
  <c r="A318" i="1" l="1"/>
  <c r="A312" i="4"/>
  <c r="A319" i="1" l="1"/>
  <c r="A313" i="4"/>
  <c r="A320" i="1" l="1"/>
  <c r="A314" i="4"/>
  <c r="A321" i="1" l="1"/>
  <c r="A315" i="4"/>
  <c r="A322" i="1" l="1"/>
  <c r="A316" i="4"/>
  <c r="A323" i="1" l="1"/>
  <c r="A317" i="4"/>
  <c r="A324" i="1" l="1"/>
  <c r="A318" i="4"/>
  <c r="A325" i="1" l="1"/>
  <c r="A319" i="4"/>
  <c r="A326" i="1" l="1"/>
  <c r="A320" i="4"/>
  <c r="A327" i="1" l="1"/>
  <c r="A321" i="4"/>
  <c r="A328" i="1" l="1"/>
  <c r="A322" i="4"/>
  <c r="A329" i="1" l="1"/>
  <c r="A323" i="4"/>
  <c r="A330" i="1" l="1"/>
  <c r="A324" i="4"/>
  <c r="A331" i="1" l="1"/>
  <c r="A325" i="4"/>
  <c r="A332" i="1" l="1"/>
  <c r="A326" i="4"/>
  <c r="A333" i="1" l="1"/>
  <c r="A327" i="4"/>
  <c r="A334" i="1" l="1"/>
  <c r="A328" i="4"/>
  <c r="A335" i="1" l="1"/>
  <c r="A329" i="4"/>
  <c r="A336" i="1" l="1"/>
  <c r="A330" i="4"/>
  <c r="A337" i="1" l="1"/>
  <c r="A331" i="4"/>
  <c r="A338" i="1" l="1"/>
  <c r="A332" i="4"/>
  <c r="A339" i="1" l="1"/>
  <c r="A333" i="4"/>
  <c r="A340" i="1" l="1"/>
  <c r="A334" i="4"/>
  <c r="A341" i="1" l="1"/>
  <c r="A335" i="4"/>
  <c r="A342" i="1" l="1"/>
  <c r="A336" i="4"/>
  <c r="A343" i="1" l="1"/>
  <c r="A337" i="4"/>
  <c r="A344" i="1" l="1"/>
  <c r="A338" i="4"/>
  <c r="A345" i="1" l="1"/>
  <c r="A339" i="4"/>
  <c r="A346" i="1" l="1"/>
  <c r="A340" i="4"/>
  <c r="A347" i="1" l="1"/>
  <c r="A341" i="4"/>
  <c r="A348" i="1" l="1"/>
  <c r="A342" i="4"/>
  <c r="A349" i="1" l="1"/>
  <c r="A343" i="4"/>
  <c r="A350" i="1" l="1"/>
  <c r="A344" i="4"/>
  <c r="A351" i="1" l="1"/>
  <c r="A345" i="4"/>
  <c r="A352" i="1" l="1"/>
  <c r="A346" i="4"/>
  <c r="A353" i="1" l="1"/>
  <c r="A347" i="4"/>
  <c r="A354" i="1" l="1"/>
  <c r="A348" i="4"/>
  <c r="A355" i="1" l="1"/>
  <c r="A349" i="4"/>
  <c r="A356" i="1" l="1"/>
  <c r="A350" i="4"/>
  <c r="A357" i="1" l="1"/>
  <c r="A351" i="4"/>
  <c r="A358" i="1" l="1"/>
  <c r="A352" i="4"/>
  <c r="A359" i="1" l="1"/>
  <c r="A353" i="4"/>
  <c r="A360" i="1" l="1"/>
  <c r="A354" i="4"/>
  <c r="A361" i="1" l="1"/>
  <c r="A355" i="4"/>
  <c r="A362" i="1" l="1"/>
  <c r="A356" i="4"/>
  <c r="A363" i="1" l="1"/>
  <c r="A357" i="4"/>
  <c r="A364" i="1" l="1"/>
  <c r="A358" i="4"/>
  <c r="A365" i="1" l="1"/>
  <c r="A359" i="4"/>
  <c r="A366" i="1" l="1"/>
  <c r="A360" i="4"/>
  <c r="A367" i="1" l="1"/>
  <c r="A361" i="4"/>
  <c r="A368" i="1" l="1"/>
  <c r="A362" i="4"/>
  <c r="A369" i="1" l="1"/>
  <c r="A363" i="4"/>
  <c r="A370" i="1" l="1"/>
  <c r="A364" i="4"/>
  <c r="A371" i="1" l="1"/>
  <c r="A365" i="4"/>
  <c r="A372" i="1" l="1"/>
  <c r="A366" i="4"/>
  <c r="A373" i="1" l="1"/>
  <c r="A367" i="4"/>
  <c r="A374" i="1" l="1"/>
  <c r="A368" i="4"/>
  <c r="A375" i="1" l="1"/>
  <c r="A369" i="4"/>
  <c r="A376" i="1" l="1"/>
  <c r="A370" i="4"/>
  <c r="A377" i="1" l="1"/>
  <c r="A371" i="4"/>
  <c r="A378" i="1" l="1"/>
  <c r="A372" i="4"/>
  <c r="A379" i="1" l="1"/>
  <c r="A373" i="4"/>
  <c r="A380" i="1" l="1"/>
  <c r="A374" i="4"/>
  <c r="A381" i="1" l="1"/>
  <c r="A375" i="4"/>
  <c r="A382" i="1" l="1"/>
  <c r="A376" i="4"/>
  <c r="A383" i="1" l="1"/>
  <c r="A5" i="5" s="1"/>
  <c r="A377" i="4"/>
  <c r="A20" i="5" l="1"/>
  <c r="A22" i="5" s="1"/>
  <c r="A8" i="5"/>
  <c r="A17" i="5"/>
  <c r="A11" i="5"/>
  <c r="E54" i="5"/>
  <c r="G54" i="5" s="1"/>
  <c r="A378" i="4"/>
  <c r="A13" i="5" l="1"/>
  <c r="A12" i="5"/>
  <c r="A21" i="5"/>
  <c r="E53" i="5"/>
  <c r="G53" i="5" s="1"/>
  <c r="F54" i="5"/>
  <c r="A1" i="5" l="1"/>
  <c r="C28" i="6" s="1"/>
  <c r="F53" i="5"/>
  <c r="E52" i="5"/>
  <c r="E51" i="5" l="1"/>
  <c r="F52" i="5"/>
  <c r="G52" i="5"/>
  <c r="E50" i="5" l="1"/>
  <c r="F51" i="5"/>
  <c r="G51" i="5"/>
  <c r="E49" i="5" l="1"/>
  <c r="G50" i="5"/>
  <c r="F50" i="5"/>
  <c r="E48" i="5" l="1"/>
  <c r="F49" i="5"/>
  <c r="G49" i="5"/>
  <c r="E47" i="5" l="1"/>
  <c r="F48" i="5"/>
  <c r="G48" i="5"/>
  <c r="E46" i="5" l="1"/>
  <c r="F47" i="5"/>
  <c r="G47" i="5"/>
  <c r="G46" i="5" l="1"/>
  <c r="F46" i="5"/>
  <c r="E45" i="5"/>
  <c r="E44" i="5" l="1"/>
  <c r="F45" i="5"/>
  <c r="G45" i="5"/>
  <c r="E43" i="5" l="1"/>
  <c r="F44" i="5"/>
  <c r="G44" i="5"/>
  <c r="G43" i="5" l="1"/>
  <c r="F43" i="5"/>
  <c r="E42" i="5"/>
  <c r="E41" i="5" l="1"/>
  <c r="G42" i="5"/>
  <c r="F42" i="5"/>
  <c r="F41" i="5" l="1"/>
  <c r="E40" i="5"/>
  <c r="G41" i="5"/>
  <c r="G40" i="5" l="1"/>
  <c r="F40" i="5"/>
  <c r="E39" i="5"/>
  <c r="F39" i="5" l="1"/>
  <c r="G39" i="5"/>
  <c r="E38" i="5"/>
  <c r="E37" i="5" l="1"/>
  <c r="G38" i="5"/>
  <c r="F38" i="5"/>
  <c r="E36" i="5" l="1"/>
  <c r="G37" i="5"/>
  <c r="F37" i="5"/>
  <c r="E35" i="5" l="1"/>
  <c r="G36" i="5"/>
  <c r="F36" i="5"/>
  <c r="E34" i="5" l="1"/>
  <c r="F35" i="5"/>
  <c r="G35" i="5"/>
  <c r="E33" i="5" l="1"/>
  <c r="F34" i="5"/>
  <c r="G34" i="5"/>
  <c r="G33" i="5" l="1"/>
  <c r="F33" i="5"/>
  <c r="E32" i="5"/>
  <c r="E31" i="5" l="1"/>
  <c r="G32" i="5"/>
  <c r="F32" i="5"/>
  <c r="G31" i="5" l="1"/>
  <c r="F31" i="5"/>
  <c r="E30" i="5"/>
  <c r="E29" i="5" l="1"/>
  <c r="F30" i="5"/>
  <c r="G30" i="5"/>
  <c r="E28" i="5" l="1"/>
  <c r="F29" i="5"/>
  <c r="G29" i="5"/>
  <c r="E27" i="5" l="1"/>
  <c r="F28" i="5"/>
  <c r="G28" i="5"/>
  <c r="E26" i="5" l="1"/>
  <c r="F27" i="5"/>
  <c r="G27" i="5"/>
  <c r="E25" i="5" l="1"/>
  <c r="F26" i="5"/>
  <c r="G26" i="5"/>
  <c r="E24" i="5" l="1"/>
  <c r="F25" i="5"/>
  <c r="G25" i="5"/>
  <c r="E23" i="5" l="1"/>
  <c r="F24" i="5"/>
  <c r="G24" i="5"/>
  <c r="E22" i="5" l="1"/>
  <c r="F23" i="5"/>
  <c r="G23" i="5"/>
  <c r="E21" i="5" l="1"/>
  <c r="F22" i="5"/>
  <c r="G22" i="5"/>
  <c r="E20" i="5" l="1"/>
  <c r="F21" i="5"/>
  <c r="G21" i="5"/>
  <c r="E19" i="5" l="1"/>
  <c r="F20" i="5"/>
  <c r="G20" i="5"/>
  <c r="E18" i="5" l="1"/>
  <c r="F19" i="5"/>
  <c r="G19" i="5"/>
  <c r="E17" i="5" l="1"/>
  <c r="G18" i="5"/>
  <c r="F18" i="5"/>
  <c r="E16" i="5" l="1"/>
  <c r="G17" i="5"/>
  <c r="F17" i="5"/>
  <c r="E15" i="5" l="1"/>
  <c r="G16" i="5"/>
  <c r="F16" i="5"/>
  <c r="E14" i="5" l="1"/>
  <c r="F15" i="5"/>
  <c r="G15" i="5"/>
  <c r="E13" i="5" l="1"/>
  <c r="G14" i="5"/>
  <c r="F14" i="5"/>
  <c r="E12" i="5" l="1"/>
  <c r="G13" i="5"/>
  <c r="F13" i="5"/>
  <c r="E11" i="5" l="1"/>
  <c r="G12" i="5"/>
  <c r="F12" i="5"/>
  <c r="E10" i="5" l="1"/>
  <c r="G11" i="5"/>
  <c r="F11" i="5"/>
  <c r="E9" i="5" l="1"/>
  <c r="F10" i="5"/>
  <c r="G10" i="5"/>
  <c r="E8" i="5" l="1"/>
  <c r="G9" i="5"/>
  <c r="F9" i="5"/>
  <c r="E7" i="5" l="1"/>
  <c r="F8" i="5"/>
  <c r="G8" i="5"/>
  <c r="E6" i="5" l="1"/>
  <c r="F7" i="5"/>
  <c r="G7" i="5"/>
  <c r="E5" i="5" l="1"/>
  <c r="F6" i="5"/>
  <c r="G6" i="5"/>
  <c r="E4" i="5" l="1"/>
  <c r="F5" i="5"/>
  <c r="G5" i="5"/>
  <c r="E3" i="5" l="1"/>
  <c r="F4" i="5"/>
  <c r="G4" i="5"/>
  <c r="E2" i="5" l="1"/>
  <c r="G3" i="5"/>
  <c r="F3" i="5"/>
  <c r="F2" i="5" l="1"/>
  <c r="G2" i="5"/>
</calcChain>
</file>

<file path=xl/sharedStrings.xml><?xml version="1.0" encoding="utf-8"?>
<sst xmlns="http://schemas.openxmlformats.org/spreadsheetml/2006/main" count="66" uniqueCount="52">
  <si>
    <t>Date</t>
  </si>
  <si>
    <t>Down_Grain_Barges_Lock_27</t>
  </si>
  <si>
    <t>Down_Grain_Barges_Lock 1</t>
  </si>
  <si>
    <t>Down_Grain_Barges_Lock_52</t>
  </si>
  <si>
    <t>Down_Grain_Barges_Total</t>
  </si>
  <si>
    <t>Unloaded_Grain_Barges_NOLA</t>
  </si>
  <si>
    <t>Unload_Minus_Barge</t>
  </si>
  <si>
    <t>Unloaded_%_change_from_previous_week</t>
  </si>
  <si>
    <t>%_change_down_barges_from_previous_week</t>
  </si>
  <si>
    <t>Change_in_number_down_grain_barges_from_previous_week</t>
  </si>
  <si>
    <t>%_change_unloadeds_from_same_week_last_year</t>
  </si>
  <si>
    <t>3_yr_Avg_unloaded_NOLA</t>
  </si>
  <si>
    <t>Figure 13</t>
  </si>
  <si>
    <t>Grain barges for export in New Orleans region</t>
  </si>
  <si>
    <t>Note: Olmsted = Olmsted Locks and Dam. The U.S. Army Corps of Engineers has recently migrated its lock and vessel database and has noted the latest data may be revised in coming weeks.</t>
  </si>
  <si>
    <t>Source:  U.S. Army Corps of Engineers and USDA, Agricultural Marketing Service.</t>
  </si>
  <si>
    <t>Source:  Grain barges unloaded in New Orleans:  Grain Inspection, Packers and Stockyards Administration (GIPSA), Downbound grain barges, U.S. Army Corps of Engineers</t>
  </si>
  <si>
    <t>Grain Barges Unloaded in the New Orleans Region Compared with Downbound Grain Barges</t>
  </si>
  <si>
    <t>Downbound Grain Barges Lock 27</t>
  </si>
  <si>
    <t>Downbound Grain Barges Lock 1</t>
  </si>
  <si>
    <t>Downbound Grain Barges Lock Olmsted</t>
  </si>
  <si>
    <t>Downbound grain barges Locks 27, 1, and Olmsted</t>
  </si>
  <si>
    <t xml:space="preserve">Grain barges unloaded in New Orleans </t>
  </si>
  <si>
    <t>Difference between total downbound grain barges and grain barges unloaded in New Orleans</t>
  </si>
  <si>
    <t>Barges unloaded in NO % change from previous week</t>
  </si>
  <si>
    <t>% change in downbound grain barges  from the previous week</t>
  </si>
  <si>
    <t>Change in the number of downbound grain barges from the previous week</t>
  </si>
  <si>
    <t>% change in unloadeds in New Orleans from the same week last year</t>
  </si>
  <si>
    <t>3-yr average of grain barges unloaded in NOLA</t>
  </si>
  <si>
    <t>Notes</t>
  </si>
  <si>
    <t>This week represents only 6 days of data for barges unloaded in New Orleans.</t>
  </si>
  <si>
    <t>August through the beginning of Oct., difference b/w downbound and unloadeds was due to unusually high corn harvest in the southern States</t>
  </si>
  <si>
    <t xml:space="preserve">downbound barges were low this week due to severe weather, Locks, 20,21, and 22 were frozen along the chamber, Ohio River reached flood stage and Illinois river had 3 frozen lift bridges and barges traffice couldn't pass for 2 days </t>
  </si>
  <si>
    <t>Beginning this week, the Midwest area, specifically from norhteastern Oklahoma through the Ohio Valley were innudated with 4 major rain events back to back</t>
  </si>
  <si>
    <t>Hurricane Gustav hit 9/1</t>
  </si>
  <si>
    <t>Hurricane Ike hit 9/13</t>
  </si>
  <si>
    <t xml:space="preserve">NOLA full of out of condition grain waiting for the new crop to be blended with.  Up to 10 percent of the barge fleet in NOLA with out of condition grain, particularly corn.  </t>
  </si>
  <si>
    <t>Early, fast paced harvest season</t>
  </si>
  <si>
    <t>Barges Unloaded in New Orleans Data revised from previous week</t>
  </si>
  <si>
    <t xml:space="preserve">Estimated data for Lock 52 </t>
  </si>
  <si>
    <t>Estimated data for Lock 53</t>
  </si>
  <si>
    <t>Drought of 2012 causes extreme low water conditions south of Locks 27 near St. Louis, MO.</t>
  </si>
  <si>
    <t xml:space="preserve">Locks 16, 17, 18, 20, 21, 22, 24, 25, and 27 closed most of the week. </t>
  </si>
  <si>
    <t>Hurricane Ida</t>
  </si>
  <si>
    <t>Didn't receive value until Jan 2</t>
  </si>
  <si>
    <t>Current date</t>
  </si>
  <si>
    <t>Downbound Barges This Week</t>
  </si>
  <si>
    <t>Change in Downbound Barges Last Week</t>
  </si>
  <si>
    <t>Unloaded Barges This Week</t>
  </si>
  <si>
    <t xml:space="preserve">Percent Change in Unloaded Barges </t>
  </si>
  <si>
    <t>Figure 14:  Grain Barges Unloaded in New Orleans Port Region</t>
  </si>
  <si>
    <t>Snow storm closed most of the elevators so drop in unloaded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</si>
</sst>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m/dd/yy;@"/>
    <numFmt numFmtId="165" formatCode="_(* #,##0_);_(* \(#,##0\);_(* &quot;-&quot;??_);_(@_)"/>
    <numFmt numFmtId="166" formatCode="m/d/yy;@"/>
    <numFmt numFmtId="167" formatCode="0.0%"/>
  </numFmts>
  <fonts count="11" x14ac:knownFonts="1">
    <font>
      <sz val="10"/>
      <name val="Arial"/>
    </font>
    <font>
      <sz val="10"/>
      <name val="Arial"/>
      <family val="2"/>
    </font>
    <font>
      <sz val="8"/>
      <name val="Arial"/>
      <family val="2"/>
    </font>
    <font>
      <sz val="8"/>
      <name val="Times New Roman"/>
      <family val="1"/>
    </font>
    <font>
      <b/>
      <sz val="11"/>
      <name val="Times New Roman"/>
      <family val="1"/>
    </font>
    <font>
      <sz val="12"/>
      <name val="Arial"/>
      <family val="2"/>
    </font>
    <font>
      <sz val="11"/>
      <name val="Arial"/>
      <family val="2"/>
    </font>
    <font>
      <b/>
      <sz val="12"/>
      <name val="Arial"/>
      <family val="2"/>
    </font>
    <font>
      <b/>
      <sz val="14"/>
      <name val="Arial"/>
      <family val="2"/>
    </font>
    <font>
      <sz val="10"/>
      <name val="Arial"/>
      <family val="2"/>
    </font>
    <font>
      <sz val="10"/>
      <color rgb="FFFF0000"/>
      <name val="Arial"/>
      <family val="2"/>
    </font>
  </fonts>
  <fills count="10">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indexed="6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DashDotDot">
        <color auto="1"/>
      </left>
      <right style="mediumDashDotDot">
        <color auto="1"/>
      </right>
      <top style="mediumDashDotDot">
        <color auto="1"/>
      </top>
      <bottom/>
      <diagonal/>
    </border>
    <border>
      <left style="mediumDashDotDot">
        <color auto="1"/>
      </left>
      <right style="mediumDashDotDot">
        <color auto="1"/>
      </right>
      <top/>
      <bottom/>
      <diagonal/>
    </border>
    <border>
      <left style="mediumDashDotDot">
        <color auto="1"/>
      </left>
      <right/>
      <top style="mediumDashDotDot">
        <color auto="1"/>
      </top>
      <bottom/>
      <diagonal/>
    </border>
    <border>
      <left/>
      <right/>
      <top style="mediumDashDotDot">
        <color auto="1"/>
      </top>
      <bottom/>
      <diagonal/>
    </border>
    <border>
      <left style="mediumDashDotDot">
        <color auto="1"/>
      </left>
      <right/>
      <top/>
      <bottom/>
      <diagonal/>
    </border>
    <border>
      <left style="mediumDashDotDot">
        <color auto="1"/>
      </left>
      <right/>
      <top/>
      <bottom style="mediumDashDotDot">
        <color auto="1"/>
      </bottom>
      <diagonal/>
    </border>
    <border>
      <left/>
      <right/>
      <top/>
      <bottom style="mediumDashDotDot">
        <color auto="1"/>
      </bottom>
      <diagonal/>
    </border>
  </borders>
  <cellStyleXfs count="2">
    <xf numFmtId="0" fontId="0" fillId="0" borderId="0" applyNumberFormat="0" applyFill="0" applyBorder="0" applyAlignment="0" applyProtection="0"/>
    <xf numFmtId="43" fontId="9" fillId="0" borderId="0" applyFont="0" applyFill="0" applyBorder="0" applyAlignment="0" applyProtection="0"/>
  </cellStyleXfs>
  <cellXfs count="76">
    <xf numFmtId="0" fontId="0" fillId="0" borderId="0" xfId="0"/>
    <xf numFmtId="0" fontId="1" fillId="0" borderId="0" xfId="0" applyFont="1"/>
    <xf numFmtId="0" fontId="1" fillId="0" borderId="0" xfId="0" applyFont="1" applyAlignment="1">
      <alignment horizontal="center"/>
    </xf>
    <xf numFmtId="1" fontId="1" fillId="0" borderId="0" xfId="0" applyNumberFormat="1" applyFont="1" applyAlignment="1">
      <alignment horizontal="center"/>
    </xf>
    <xf numFmtId="9" fontId="1" fillId="0" borderId="0" xfId="0" applyNumberFormat="1" applyFont="1" applyAlignment="1">
      <alignment horizontal="center"/>
    </xf>
    <xf numFmtId="1" fontId="1" fillId="0" borderId="0" xfId="0" applyNumberFormat="1" applyFont="1" applyBorder="1" applyAlignment="1">
      <alignment horizontal="center"/>
    </xf>
    <xf numFmtId="1" fontId="1" fillId="0" borderId="1" xfId="0" applyNumberFormat="1" applyFont="1" applyBorder="1" applyAlignment="1">
      <alignment horizontal="center" wrapText="1"/>
    </xf>
    <xf numFmtId="0" fontId="3" fillId="2" borderId="0" xfId="0" applyFont="1" applyFill="1"/>
    <xf numFmtId="0" fontId="1" fillId="2" borderId="0" xfId="0" applyFont="1" applyFill="1"/>
    <xf numFmtId="0" fontId="4" fillId="2" borderId="0" xfId="0" applyFont="1" applyFill="1"/>
    <xf numFmtId="0" fontId="1" fillId="3" borderId="0" xfId="0" applyFont="1" applyFill="1"/>
    <xf numFmtId="1" fontId="1" fillId="4" borderId="0" xfId="0" applyNumberFormat="1" applyFont="1" applyFill="1" applyAlignment="1">
      <alignment horizontal="center"/>
    </xf>
    <xf numFmtId="0" fontId="0" fillId="4" borderId="0" xfId="0" applyFill="1" applyAlignment="1">
      <alignment horizontal="center"/>
    </xf>
    <xf numFmtId="9" fontId="1" fillId="0" borderId="0" xfId="0" applyNumberFormat="1" applyFont="1"/>
    <xf numFmtId="0" fontId="1" fillId="0" borderId="0" xfId="0" applyNumberFormat="1" applyFont="1" applyFill="1" applyBorder="1" applyAlignment="1" applyProtection="1"/>
    <xf numFmtId="0" fontId="1" fillId="0" borderId="0" xfId="0" applyNumberFormat="1" applyFont="1" applyAlignment="1">
      <alignment horizontal="center"/>
    </xf>
    <xf numFmtId="0" fontId="0" fillId="4" borderId="0" xfId="0" applyFill="1" applyBorder="1" applyAlignment="1">
      <alignment horizontal="center"/>
    </xf>
    <xf numFmtId="0" fontId="1" fillId="0" borderId="0" xfId="0" applyNumberFormat="1" applyFont="1" applyAlignment="1">
      <alignment horizontal="left"/>
    </xf>
    <xf numFmtId="0" fontId="0" fillId="4" borderId="0" xfId="0" applyFill="1" applyAlignment="1">
      <alignment horizontal="center" wrapText="1"/>
    </xf>
    <xf numFmtId="0" fontId="1" fillId="0" borderId="0" xfId="0" applyFont="1" applyFill="1"/>
    <xf numFmtId="164" fontId="6" fillId="0" borderId="0" xfId="0" applyNumberFormat="1" applyFont="1" applyBorder="1" applyAlignment="1">
      <alignment horizontal="center"/>
    </xf>
    <xf numFmtId="164" fontId="6" fillId="0" borderId="0" xfId="0" applyNumberFormat="1" applyFont="1" applyFill="1" applyBorder="1" applyAlignment="1">
      <alignment horizontal="center"/>
    </xf>
    <xf numFmtId="14" fontId="7" fillId="0" borderId="0" xfId="0" applyNumberFormat="1" applyFont="1" applyBorder="1" applyAlignment="1"/>
    <xf numFmtId="0" fontId="5" fillId="0" borderId="0" xfId="0" applyFont="1" applyAlignment="1">
      <alignment horizontal="left" wrapText="1"/>
    </xf>
    <xf numFmtId="165" fontId="1" fillId="0" borderId="0" xfId="1" applyNumberFormat="1" applyFont="1" applyAlignment="1">
      <alignment horizontal="center"/>
    </xf>
    <xf numFmtId="0" fontId="1" fillId="0" borderId="0" xfId="0" applyNumberFormat="1" applyFont="1" applyFill="1" applyAlignment="1">
      <alignment horizontal="left"/>
    </xf>
    <xf numFmtId="0" fontId="1" fillId="0" borderId="0" xfId="0" applyNumberFormat="1" applyFont="1" applyFill="1" applyAlignment="1">
      <alignment horizontal="center"/>
    </xf>
    <xf numFmtId="0" fontId="1" fillId="0" borderId="2" xfId="0" applyFont="1" applyBorder="1" applyAlignment="1">
      <alignment horizontal="center"/>
    </xf>
    <xf numFmtId="1" fontId="1" fillId="0" borderId="0" xfId="0" applyNumberFormat="1" applyFont="1" applyBorder="1" applyAlignment="1">
      <alignment horizontal="center" wrapText="1"/>
    </xf>
    <xf numFmtId="0" fontId="1" fillId="0" borderId="0" xfId="0" applyFont="1" applyAlignment="1">
      <alignment horizontal="left"/>
    </xf>
    <xf numFmtId="1" fontId="1" fillId="5" borderId="0" xfId="0" applyNumberFormat="1" applyFont="1" applyFill="1" applyAlignment="1">
      <alignment horizontal="center"/>
    </xf>
    <xf numFmtId="1" fontId="1" fillId="0" borderId="5" xfId="0" applyNumberFormat="1" applyFont="1" applyBorder="1" applyAlignment="1">
      <alignment horizontal="center"/>
    </xf>
    <xf numFmtId="1" fontId="1" fillId="0" borderId="6" xfId="0" applyNumberFormat="1" applyFont="1" applyBorder="1" applyAlignment="1">
      <alignment horizontal="center"/>
    </xf>
    <xf numFmtId="1" fontId="1" fillId="0" borderId="7" xfId="0" applyNumberFormat="1" applyFont="1" applyBorder="1" applyAlignment="1">
      <alignment horizontal="center"/>
    </xf>
    <xf numFmtId="1" fontId="1" fillId="0" borderId="8" xfId="0" applyNumberFormat="1" applyFont="1" applyBorder="1" applyAlignment="1">
      <alignment horizontal="center"/>
    </xf>
    <xf numFmtId="1" fontId="1" fillId="0" borderId="9" xfId="0" applyNumberFormat="1" applyFont="1" applyBorder="1" applyAlignment="1">
      <alignment horizontal="center"/>
    </xf>
    <xf numFmtId="1" fontId="10" fillId="0" borderId="3" xfId="0" applyNumberFormat="1" applyFont="1" applyBorder="1" applyAlignment="1">
      <alignment horizontal="center"/>
    </xf>
    <xf numFmtId="1" fontId="10" fillId="0" borderId="4" xfId="0" applyNumberFormat="1" applyFont="1" applyBorder="1" applyAlignment="1">
      <alignment horizontal="center"/>
    </xf>
    <xf numFmtId="9" fontId="1" fillId="5" borderId="1" xfId="0" applyNumberFormat="1" applyFont="1" applyFill="1" applyBorder="1" applyAlignment="1">
      <alignment horizontal="center" wrapText="1"/>
    </xf>
    <xf numFmtId="1" fontId="1" fillId="0" borderId="2" xfId="0" applyNumberFormat="1" applyFont="1" applyBorder="1" applyAlignment="1">
      <alignment horizontal="center"/>
    </xf>
    <xf numFmtId="1" fontId="1" fillId="0" borderId="1" xfId="0" applyNumberFormat="1" applyFont="1" applyBorder="1" applyAlignment="1">
      <alignment horizontal="center"/>
    </xf>
    <xf numFmtId="9" fontId="1" fillId="5" borderId="1" xfId="0" applyNumberFormat="1" applyFont="1" applyFill="1" applyBorder="1" applyAlignment="1">
      <alignment horizontal="center"/>
    </xf>
    <xf numFmtId="0" fontId="0" fillId="0" borderId="0" xfId="0" applyAlignment="1"/>
    <xf numFmtId="166" fontId="0" fillId="0" borderId="0" xfId="0" applyNumberFormat="1" applyAlignment="1"/>
    <xf numFmtId="9" fontId="0" fillId="0" borderId="0" xfId="0" applyNumberFormat="1" applyAlignment="1"/>
    <xf numFmtId="1" fontId="0" fillId="0" borderId="0" xfId="0" applyNumberFormat="1" applyAlignment="1"/>
    <xf numFmtId="1" fontId="1" fillId="6" borderId="1" xfId="0" applyNumberFormat="1" applyFont="1" applyFill="1" applyBorder="1" applyAlignment="1">
      <alignment horizontal="center" wrapText="1"/>
    </xf>
    <xf numFmtId="1" fontId="1" fillId="6" borderId="2" xfId="0" applyNumberFormat="1" applyFont="1" applyFill="1" applyBorder="1" applyAlignment="1">
      <alignment horizontal="center" wrapText="1"/>
    </xf>
    <xf numFmtId="1" fontId="1" fillId="0" borderId="0" xfId="0" applyNumberFormat="1" applyFont="1" applyFill="1" applyAlignment="1">
      <alignment horizontal="center"/>
    </xf>
    <xf numFmtId="9" fontId="1" fillId="5" borderId="0" xfId="0" applyNumberFormat="1" applyFont="1" applyFill="1" applyAlignment="1">
      <alignment horizontal="center"/>
    </xf>
    <xf numFmtId="9" fontId="7" fillId="7" borderId="0" xfId="0" applyNumberFormat="1" applyFont="1" applyFill="1" applyBorder="1" applyAlignment="1"/>
    <xf numFmtId="9" fontId="5" fillId="7" borderId="0" xfId="0" applyNumberFormat="1" applyFont="1" applyFill="1" applyAlignment="1">
      <alignment horizontal="left" wrapText="1"/>
    </xf>
    <xf numFmtId="1" fontId="1" fillId="8" borderId="0" xfId="0" applyNumberFormat="1" applyFont="1" applyFill="1" applyAlignment="1">
      <alignment horizontal="center"/>
    </xf>
    <xf numFmtId="0" fontId="1" fillId="9" borderId="0" xfId="0" applyFont="1" applyFill="1"/>
    <xf numFmtId="9" fontId="7" fillId="0" borderId="0" xfId="0" applyNumberFormat="1" applyFont="1" applyFill="1" applyBorder="1" applyAlignment="1"/>
    <xf numFmtId="9" fontId="5" fillId="0" borderId="0" xfId="0" applyNumberFormat="1" applyFont="1" applyFill="1" applyAlignment="1">
      <alignment horizontal="left" wrapText="1"/>
    </xf>
    <xf numFmtId="9" fontId="1" fillId="0" borderId="1" xfId="0" applyNumberFormat="1" applyFont="1" applyFill="1" applyBorder="1" applyAlignment="1">
      <alignment horizontal="center" wrapText="1"/>
    </xf>
    <xf numFmtId="9" fontId="1" fillId="0" borderId="0" xfId="0" applyNumberFormat="1" applyFont="1" applyFill="1" applyAlignment="1">
      <alignment horizontal="center"/>
    </xf>
    <xf numFmtId="167" fontId="1" fillId="0" borderId="0" xfId="0" applyNumberFormat="1" applyFont="1" applyFill="1" applyAlignment="1">
      <alignment horizontal="center"/>
    </xf>
    <xf numFmtId="14" fontId="7" fillId="5" borderId="0" xfId="0" applyNumberFormat="1" applyFont="1" applyFill="1" applyBorder="1" applyAlignment="1"/>
    <xf numFmtId="0" fontId="5" fillId="5" borderId="0" xfId="0" applyFont="1" applyFill="1" applyAlignment="1">
      <alignment horizontal="left" wrapText="1"/>
    </xf>
    <xf numFmtId="1" fontId="1" fillId="5" borderId="1" xfId="0" applyNumberFormat="1" applyFont="1" applyFill="1" applyBorder="1" applyAlignment="1">
      <alignment horizontal="center" wrapText="1"/>
    </xf>
    <xf numFmtId="9" fontId="1" fillId="0" borderId="0" xfId="0" applyNumberFormat="1" applyFont="1" applyFill="1"/>
    <xf numFmtId="0" fontId="1" fillId="0" borderId="0" xfId="0" applyFont="1" applyFill="1" applyAlignment="1">
      <alignment horizontal="center"/>
    </xf>
    <xf numFmtId="0" fontId="0" fillId="0" borderId="0" xfId="0" applyFill="1"/>
    <xf numFmtId="0" fontId="0" fillId="0" borderId="0" xfId="0" applyFill="1" applyAlignment="1">
      <alignment horizontal="center"/>
    </xf>
    <xf numFmtId="0" fontId="3" fillId="9" borderId="0" xfId="0" applyFont="1" applyFill="1"/>
    <xf numFmtId="3" fontId="1" fillId="8" borderId="0" xfId="0" applyNumberFormat="1" applyFont="1" applyFill="1" applyAlignment="1">
      <alignment horizontal="center"/>
    </xf>
    <xf numFmtId="14" fontId="0" fillId="0" borderId="0" xfId="0" applyNumberFormat="1"/>
    <xf numFmtId="0" fontId="0" fillId="0" borderId="0" xfId="0" applyAlignment="1">
      <alignment wrapText="1"/>
    </xf>
    <xf numFmtId="1" fontId="1" fillId="0" borderId="0" xfId="0" applyNumberFormat="1" applyFont="1"/>
    <xf numFmtId="0" fontId="1" fillId="4" borderId="0" xfId="0" applyFont="1" applyFill="1" applyAlignment="1">
      <alignment horizontal="center"/>
    </xf>
    <xf numFmtId="3" fontId="0" fillId="8" borderId="0" xfId="0" applyNumberFormat="1" applyFill="1" applyAlignment="1">
      <alignment horizontal="center"/>
    </xf>
    <xf numFmtId="0" fontId="3" fillId="3" borderId="0" xfId="0" applyFont="1" applyFill="1" applyAlignment="1">
      <alignment horizontal="left" wrapText="1"/>
    </xf>
    <xf numFmtId="0" fontId="8" fillId="0" borderId="0" xfId="0" applyFont="1" applyAlignment="1">
      <alignment horizontal="left" wrapText="1"/>
    </xf>
    <xf numFmtId="0" fontId="1" fillId="0" borderId="0" xfId="0" applyFont="1" applyAlignment="1">
      <alignment horizontal="left" wrapText="1"/>
    </xf>
  </cellXfs>
  <cellStyles count="2">
    <cellStyle name="Comma" xfId="1" builtinId="3"/>
    <cellStyle name="Normal"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39995343590218E-2"/>
          <c:y val="4.6425880881410191E-2"/>
          <c:w val="0.88508754249152888"/>
          <c:h val="0.77184022110342254"/>
        </c:manualLayout>
      </c:layout>
      <c:lineChart>
        <c:grouping val="standard"/>
        <c:varyColors val="0"/>
        <c:ser>
          <c:idx val="0"/>
          <c:order val="0"/>
          <c:tx>
            <c:strRef>
              <c:f>'Figure text'!$F$1</c:f>
              <c:strCache>
                <c:ptCount val="1"/>
                <c:pt idx="0">
                  <c:v>Downbound grain barges Locks 27, 1, and Olmsted</c:v>
                </c:pt>
              </c:strCache>
            </c:strRef>
          </c:tx>
          <c:spPr>
            <a:ln w="25400">
              <a:solidFill>
                <a:srgbClr val="000080"/>
              </a:solidFill>
              <a:prstDash val="solid"/>
            </a:ln>
          </c:spPr>
          <c:marker>
            <c:symbol val="diamond"/>
            <c:size val="4"/>
            <c:spPr>
              <a:solidFill>
                <a:srgbClr val="000080"/>
              </a:solidFill>
              <a:ln>
                <a:solidFill>
                  <a:srgbClr val="000080"/>
                </a:solidFill>
                <a:prstDash val="solid"/>
              </a:ln>
            </c:spPr>
          </c:marker>
          <c:cat>
            <c:numRef>
              <c:f>'Figure text'!$E$2:$E$54</c:f>
              <c:numCache>
                <c:formatCode>m/d/yyyy</c:formatCode>
                <c:ptCount val="53"/>
                <c:pt idx="0">
                  <c:v>45402</c:v>
                </c:pt>
                <c:pt idx="1">
                  <c:v>45409</c:v>
                </c:pt>
                <c:pt idx="2">
                  <c:v>45416</c:v>
                </c:pt>
                <c:pt idx="3">
                  <c:v>45423</c:v>
                </c:pt>
                <c:pt idx="4">
                  <c:v>45430</c:v>
                </c:pt>
                <c:pt idx="5">
                  <c:v>45437</c:v>
                </c:pt>
                <c:pt idx="6">
                  <c:v>45444</c:v>
                </c:pt>
                <c:pt idx="7">
                  <c:v>45451</c:v>
                </c:pt>
                <c:pt idx="8">
                  <c:v>45458</c:v>
                </c:pt>
                <c:pt idx="9">
                  <c:v>45465</c:v>
                </c:pt>
                <c:pt idx="10">
                  <c:v>45472</c:v>
                </c:pt>
                <c:pt idx="11">
                  <c:v>45479</c:v>
                </c:pt>
                <c:pt idx="12">
                  <c:v>45486</c:v>
                </c:pt>
                <c:pt idx="13">
                  <c:v>45493</c:v>
                </c:pt>
                <c:pt idx="14">
                  <c:v>45500</c:v>
                </c:pt>
                <c:pt idx="15">
                  <c:v>45507</c:v>
                </c:pt>
                <c:pt idx="16">
                  <c:v>45514</c:v>
                </c:pt>
                <c:pt idx="17">
                  <c:v>45521</c:v>
                </c:pt>
                <c:pt idx="18">
                  <c:v>45528</c:v>
                </c:pt>
                <c:pt idx="19">
                  <c:v>45535</c:v>
                </c:pt>
                <c:pt idx="20">
                  <c:v>45542</c:v>
                </c:pt>
                <c:pt idx="21">
                  <c:v>45549</c:v>
                </c:pt>
                <c:pt idx="22">
                  <c:v>45556</c:v>
                </c:pt>
                <c:pt idx="23">
                  <c:v>45563</c:v>
                </c:pt>
                <c:pt idx="24">
                  <c:v>45570</c:v>
                </c:pt>
                <c:pt idx="25">
                  <c:v>45577</c:v>
                </c:pt>
                <c:pt idx="26">
                  <c:v>45584</c:v>
                </c:pt>
                <c:pt idx="27">
                  <c:v>45591</c:v>
                </c:pt>
                <c:pt idx="28">
                  <c:v>45598</c:v>
                </c:pt>
                <c:pt idx="29">
                  <c:v>45605</c:v>
                </c:pt>
                <c:pt idx="30">
                  <c:v>45612</c:v>
                </c:pt>
                <c:pt idx="31">
                  <c:v>45619</c:v>
                </c:pt>
                <c:pt idx="32">
                  <c:v>45626</c:v>
                </c:pt>
                <c:pt idx="33">
                  <c:v>45633</c:v>
                </c:pt>
                <c:pt idx="34">
                  <c:v>45640</c:v>
                </c:pt>
                <c:pt idx="35">
                  <c:v>45647</c:v>
                </c:pt>
                <c:pt idx="36">
                  <c:v>45654</c:v>
                </c:pt>
                <c:pt idx="37">
                  <c:v>45661</c:v>
                </c:pt>
                <c:pt idx="38">
                  <c:v>45668</c:v>
                </c:pt>
                <c:pt idx="39">
                  <c:v>45675</c:v>
                </c:pt>
                <c:pt idx="40">
                  <c:v>45682</c:v>
                </c:pt>
                <c:pt idx="41">
                  <c:v>45689</c:v>
                </c:pt>
                <c:pt idx="42">
                  <c:v>45696</c:v>
                </c:pt>
                <c:pt idx="43">
                  <c:v>45703</c:v>
                </c:pt>
                <c:pt idx="44">
                  <c:v>45710</c:v>
                </c:pt>
                <c:pt idx="45">
                  <c:v>45717</c:v>
                </c:pt>
                <c:pt idx="46">
                  <c:v>45724</c:v>
                </c:pt>
                <c:pt idx="47">
                  <c:v>45731</c:v>
                </c:pt>
                <c:pt idx="48">
                  <c:v>45738</c:v>
                </c:pt>
                <c:pt idx="49">
                  <c:v>45745</c:v>
                </c:pt>
                <c:pt idx="50">
                  <c:v>45752</c:v>
                </c:pt>
                <c:pt idx="51">
                  <c:v>45759</c:v>
                </c:pt>
                <c:pt idx="52">
                  <c:v>45766</c:v>
                </c:pt>
              </c:numCache>
            </c:numRef>
          </c:cat>
          <c:val>
            <c:numRef>
              <c:f>'Figure text'!$F$2:$F$54</c:f>
              <c:numCache>
                <c:formatCode>General</c:formatCode>
                <c:ptCount val="53"/>
                <c:pt idx="0">
                  <c:v>314</c:v>
                </c:pt>
                <c:pt idx="1">
                  <c:v>308</c:v>
                </c:pt>
                <c:pt idx="2">
                  <c:v>269</c:v>
                </c:pt>
                <c:pt idx="3">
                  <c:v>326</c:v>
                </c:pt>
                <c:pt idx="4">
                  <c:v>458</c:v>
                </c:pt>
                <c:pt idx="5">
                  <c:v>389</c:v>
                </c:pt>
                <c:pt idx="6">
                  <c:v>389</c:v>
                </c:pt>
                <c:pt idx="7">
                  <c:v>230</c:v>
                </c:pt>
                <c:pt idx="8">
                  <c:v>318</c:v>
                </c:pt>
                <c:pt idx="9">
                  <c:v>320</c:v>
                </c:pt>
                <c:pt idx="10">
                  <c:v>363</c:v>
                </c:pt>
                <c:pt idx="11">
                  <c:v>275</c:v>
                </c:pt>
                <c:pt idx="12">
                  <c:v>185</c:v>
                </c:pt>
                <c:pt idx="13">
                  <c:v>225</c:v>
                </c:pt>
                <c:pt idx="14">
                  <c:v>424</c:v>
                </c:pt>
                <c:pt idx="15">
                  <c:v>389</c:v>
                </c:pt>
                <c:pt idx="16">
                  <c:v>501</c:v>
                </c:pt>
                <c:pt idx="17">
                  <c:v>450</c:v>
                </c:pt>
                <c:pt idx="18">
                  <c:v>384</c:v>
                </c:pt>
                <c:pt idx="19">
                  <c:v>357</c:v>
                </c:pt>
                <c:pt idx="20">
                  <c:v>266</c:v>
                </c:pt>
                <c:pt idx="21">
                  <c:v>235</c:v>
                </c:pt>
                <c:pt idx="22">
                  <c:v>312</c:v>
                </c:pt>
                <c:pt idx="23">
                  <c:v>240</c:v>
                </c:pt>
                <c:pt idx="24">
                  <c:v>246</c:v>
                </c:pt>
                <c:pt idx="25">
                  <c:v>356</c:v>
                </c:pt>
                <c:pt idx="26">
                  <c:v>343</c:v>
                </c:pt>
                <c:pt idx="27">
                  <c:v>428</c:v>
                </c:pt>
                <c:pt idx="28">
                  <c:v>514</c:v>
                </c:pt>
                <c:pt idx="29">
                  <c:v>499</c:v>
                </c:pt>
                <c:pt idx="30">
                  <c:v>541</c:v>
                </c:pt>
                <c:pt idx="31">
                  <c:v>570</c:v>
                </c:pt>
                <c:pt idx="32">
                  <c:v>556</c:v>
                </c:pt>
                <c:pt idx="33">
                  <c:v>493</c:v>
                </c:pt>
                <c:pt idx="34">
                  <c:v>619</c:v>
                </c:pt>
                <c:pt idx="35">
                  <c:v>547</c:v>
                </c:pt>
                <c:pt idx="36">
                  <c:v>631</c:v>
                </c:pt>
                <c:pt idx="37">
                  <c:v>445</c:v>
                </c:pt>
                <c:pt idx="38">
                  <c:v>293</c:v>
                </c:pt>
                <c:pt idx="39">
                  <c:v>284</c:v>
                </c:pt>
                <c:pt idx="40">
                  <c:v>421</c:v>
                </c:pt>
                <c:pt idx="41">
                  <c:v>392</c:v>
                </c:pt>
                <c:pt idx="42">
                  <c:v>389</c:v>
                </c:pt>
                <c:pt idx="43">
                  <c:v>423</c:v>
                </c:pt>
                <c:pt idx="44">
                  <c:v>271</c:v>
                </c:pt>
                <c:pt idx="45">
                  <c:v>301</c:v>
                </c:pt>
                <c:pt idx="46">
                  <c:v>248</c:v>
                </c:pt>
                <c:pt idx="47">
                  <c:v>507</c:v>
                </c:pt>
                <c:pt idx="48">
                  <c:v>459</c:v>
                </c:pt>
                <c:pt idx="49">
                  <c:v>574</c:v>
                </c:pt>
                <c:pt idx="50">
                  <c:v>263</c:v>
                </c:pt>
                <c:pt idx="51">
                  <c:v>349</c:v>
                </c:pt>
                <c:pt idx="52">
                  <c:v>352</c:v>
                </c:pt>
              </c:numCache>
            </c:numRef>
          </c:val>
          <c:smooth val="0"/>
          <c:extLst>
            <c:ext xmlns:c16="http://schemas.microsoft.com/office/drawing/2014/chart" uri="{C3380CC4-5D6E-409C-BE32-E72D297353CC}">
              <c16:uniqueId val="{00000000-E05B-4EFC-9741-D469A09BBA66}"/>
            </c:ext>
          </c:extLst>
        </c:ser>
        <c:ser>
          <c:idx val="1"/>
          <c:order val="1"/>
          <c:tx>
            <c:strRef>
              <c:f>'Figure text'!$G$1</c:f>
              <c:strCache>
                <c:ptCount val="1"/>
                <c:pt idx="0">
                  <c:v>Grain barges unloaded in New Orleans </c:v>
                </c:pt>
              </c:strCache>
            </c:strRef>
          </c:tx>
          <c:spPr>
            <a:ln w="25400">
              <a:solidFill>
                <a:srgbClr val="FF9900"/>
              </a:solidFill>
              <a:prstDash val="solid"/>
            </a:ln>
          </c:spPr>
          <c:marker>
            <c:symbol val="square"/>
            <c:size val="3"/>
            <c:spPr>
              <a:solidFill>
                <a:srgbClr val="FF9900"/>
              </a:solidFill>
              <a:ln>
                <a:solidFill>
                  <a:srgbClr val="FF9900"/>
                </a:solidFill>
                <a:prstDash val="solid"/>
              </a:ln>
            </c:spPr>
          </c:marker>
          <c:cat>
            <c:numRef>
              <c:f>'Figure text'!$E$2:$E$54</c:f>
              <c:numCache>
                <c:formatCode>m/d/yyyy</c:formatCode>
                <c:ptCount val="53"/>
                <c:pt idx="0">
                  <c:v>45402</c:v>
                </c:pt>
                <c:pt idx="1">
                  <c:v>45409</c:v>
                </c:pt>
                <c:pt idx="2">
                  <c:v>45416</c:v>
                </c:pt>
                <c:pt idx="3">
                  <c:v>45423</c:v>
                </c:pt>
                <c:pt idx="4">
                  <c:v>45430</c:v>
                </c:pt>
                <c:pt idx="5">
                  <c:v>45437</c:v>
                </c:pt>
                <c:pt idx="6">
                  <c:v>45444</c:v>
                </c:pt>
                <c:pt idx="7">
                  <c:v>45451</c:v>
                </c:pt>
                <c:pt idx="8">
                  <c:v>45458</c:v>
                </c:pt>
                <c:pt idx="9">
                  <c:v>45465</c:v>
                </c:pt>
                <c:pt idx="10">
                  <c:v>45472</c:v>
                </c:pt>
                <c:pt idx="11">
                  <c:v>45479</c:v>
                </c:pt>
                <c:pt idx="12">
                  <c:v>45486</c:v>
                </c:pt>
                <c:pt idx="13">
                  <c:v>45493</c:v>
                </c:pt>
                <c:pt idx="14">
                  <c:v>45500</c:v>
                </c:pt>
                <c:pt idx="15">
                  <c:v>45507</c:v>
                </c:pt>
                <c:pt idx="16">
                  <c:v>45514</c:v>
                </c:pt>
                <c:pt idx="17">
                  <c:v>45521</c:v>
                </c:pt>
                <c:pt idx="18">
                  <c:v>45528</c:v>
                </c:pt>
                <c:pt idx="19">
                  <c:v>45535</c:v>
                </c:pt>
                <c:pt idx="20">
                  <c:v>45542</c:v>
                </c:pt>
                <c:pt idx="21">
                  <c:v>45549</c:v>
                </c:pt>
                <c:pt idx="22">
                  <c:v>45556</c:v>
                </c:pt>
                <c:pt idx="23">
                  <c:v>45563</c:v>
                </c:pt>
                <c:pt idx="24">
                  <c:v>45570</c:v>
                </c:pt>
                <c:pt idx="25">
                  <c:v>45577</c:v>
                </c:pt>
                <c:pt idx="26">
                  <c:v>45584</c:v>
                </c:pt>
                <c:pt idx="27">
                  <c:v>45591</c:v>
                </c:pt>
                <c:pt idx="28">
                  <c:v>45598</c:v>
                </c:pt>
                <c:pt idx="29">
                  <c:v>45605</c:v>
                </c:pt>
                <c:pt idx="30">
                  <c:v>45612</c:v>
                </c:pt>
                <c:pt idx="31">
                  <c:v>45619</c:v>
                </c:pt>
                <c:pt idx="32">
                  <c:v>45626</c:v>
                </c:pt>
                <c:pt idx="33">
                  <c:v>45633</c:v>
                </c:pt>
                <c:pt idx="34">
                  <c:v>45640</c:v>
                </c:pt>
                <c:pt idx="35">
                  <c:v>45647</c:v>
                </c:pt>
                <c:pt idx="36">
                  <c:v>45654</c:v>
                </c:pt>
                <c:pt idx="37">
                  <c:v>45661</c:v>
                </c:pt>
                <c:pt idx="38">
                  <c:v>45668</c:v>
                </c:pt>
                <c:pt idx="39">
                  <c:v>45675</c:v>
                </c:pt>
                <c:pt idx="40">
                  <c:v>45682</c:v>
                </c:pt>
                <c:pt idx="41">
                  <c:v>45689</c:v>
                </c:pt>
                <c:pt idx="42">
                  <c:v>45696</c:v>
                </c:pt>
                <c:pt idx="43">
                  <c:v>45703</c:v>
                </c:pt>
                <c:pt idx="44">
                  <c:v>45710</c:v>
                </c:pt>
                <c:pt idx="45">
                  <c:v>45717</c:v>
                </c:pt>
                <c:pt idx="46">
                  <c:v>45724</c:v>
                </c:pt>
                <c:pt idx="47">
                  <c:v>45731</c:v>
                </c:pt>
                <c:pt idx="48">
                  <c:v>45738</c:v>
                </c:pt>
                <c:pt idx="49">
                  <c:v>45745</c:v>
                </c:pt>
                <c:pt idx="50">
                  <c:v>45752</c:v>
                </c:pt>
                <c:pt idx="51">
                  <c:v>45759</c:v>
                </c:pt>
                <c:pt idx="52">
                  <c:v>45766</c:v>
                </c:pt>
              </c:numCache>
            </c:numRef>
          </c:cat>
          <c:val>
            <c:numRef>
              <c:f>'Figure text'!$G$2:$G$54</c:f>
              <c:numCache>
                <c:formatCode>General</c:formatCode>
                <c:ptCount val="53"/>
                <c:pt idx="0">
                  <c:v>542</c:v>
                </c:pt>
                <c:pt idx="1">
                  <c:v>549</c:v>
                </c:pt>
                <c:pt idx="2">
                  <c:v>463</c:v>
                </c:pt>
                <c:pt idx="3">
                  <c:v>594</c:v>
                </c:pt>
                <c:pt idx="4">
                  <c:v>276</c:v>
                </c:pt>
                <c:pt idx="5">
                  <c:v>479</c:v>
                </c:pt>
                <c:pt idx="6">
                  <c:v>564</c:v>
                </c:pt>
                <c:pt idx="7">
                  <c:v>498</c:v>
                </c:pt>
                <c:pt idx="8">
                  <c:v>597</c:v>
                </c:pt>
                <c:pt idx="9">
                  <c:v>306</c:v>
                </c:pt>
                <c:pt idx="10">
                  <c:v>336</c:v>
                </c:pt>
                <c:pt idx="11">
                  <c:v>447</c:v>
                </c:pt>
                <c:pt idx="12">
                  <c:v>513</c:v>
                </c:pt>
                <c:pt idx="13">
                  <c:v>401</c:v>
                </c:pt>
                <c:pt idx="14">
                  <c:v>472</c:v>
                </c:pt>
                <c:pt idx="15">
                  <c:v>593</c:v>
                </c:pt>
                <c:pt idx="16">
                  <c:v>595</c:v>
                </c:pt>
                <c:pt idx="17">
                  <c:v>412</c:v>
                </c:pt>
                <c:pt idx="18">
                  <c:v>518</c:v>
                </c:pt>
                <c:pt idx="19">
                  <c:v>579</c:v>
                </c:pt>
                <c:pt idx="20">
                  <c:v>464</c:v>
                </c:pt>
                <c:pt idx="21">
                  <c:v>379</c:v>
                </c:pt>
                <c:pt idx="22">
                  <c:v>712</c:v>
                </c:pt>
                <c:pt idx="23">
                  <c:v>846</c:v>
                </c:pt>
                <c:pt idx="24">
                  <c:v>759</c:v>
                </c:pt>
                <c:pt idx="25">
                  <c:v>851</c:v>
                </c:pt>
                <c:pt idx="26">
                  <c:v>932</c:v>
                </c:pt>
                <c:pt idx="27">
                  <c:v>911</c:v>
                </c:pt>
                <c:pt idx="28">
                  <c:v>806</c:v>
                </c:pt>
                <c:pt idx="29">
                  <c:v>981</c:v>
                </c:pt>
                <c:pt idx="30">
                  <c:v>933</c:v>
                </c:pt>
                <c:pt idx="31">
                  <c:v>998</c:v>
                </c:pt>
                <c:pt idx="32">
                  <c:v>983</c:v>
                </c:pt>
                <c:pt idx="33">
                  <c:v>868</c:v>
                </c:pt>
                <c:pt idx="34">
                  <c:v>878</c:v>
                </c:pt>
                <c:pt idx="35">
                  <c:v>877</c:v>
                </c:pt>
                <c:pt idx="36">
                  <c:v>720</c:v>
                </c:pt>
                <c:pt idx="37">
                  <c:v>919</c:v>
                </c:pt>
                <c:pt idx="38">
                  <c:v>838</c:v>
                </c:pt>
                <c:pt idx="39">
                  <c:v>911</c:v>
                </c:pt>
                <c:pt idx="40">
                  <c:v>418</c:v>
                </c:pt>
                <c:pt idx="41">
                  <c:v>865</c:v>
                </c:pt>
                <c:pt idx="42">
                  <c:v>640</c:v>
                </c:pt>
                <c:pt idx="43">
                  <c:v>703</c:v>
                </c:pt>
                <c:pt idx="44">
                  <c:v>745</c:v>
                </c:pt>
                <c:pt idx="45">
                  <c:v>635</c:v>
                </c:pt>
                <c:pt idx="46">
                  <c:v>727</c:v>
                </c:pt>
                <c:pt idx="47">
                  <c:v>704</c:v>
                </c:pt>
                <c:pt idx="48">
                  <c:v>853</c:v>
                </c:pt>
                <c:pt idx="49">
                  <c:v>715</c:v>
                </c:pt>
                <c:pt idx="50">
                  <c:v>747</c:v>
                </c:pt>
                <c:pt idx="51">
                  <c:v>735</c:v>
                </c:pt>
                <c:pt idx="52">
                  <c:v>575</c:v>
                </c:pt>
              </c:numCache>
            </c:numRef>
          </c:val>
          <c:smooth val="0"/>
          <c:extLst>
            <c:ext xmlns:c16="http://schemas.microsoft.com/office/drawing/2014/chart" uri="{C3380CC4-5D6E-409C-BE32-E72D297353CC}">
              <c16:uniqueId val="{00000001-E05B-4EFC-9741-D469A09BBA66}"/>
            </c:ext>
          </c:extLst>
        </c:ser>
        <c:dLbls>
          <c:showLegendKey val="0"/>
          <c:showVal val="0"/>
          <c:showCatName val="0"/>
          <c:showSerName val="0"/>
          <c:showPercent val="0"/>
          <c:showBubbleSize val="0"/>
        </c:dLbls>
        <c:marker val="1"/>
        <c:smooth val="0"/>
        <c:axId val="518328872"/>
        <c:axId val="518327696"/>
      </c:lineChart>
      <c:dateAx>
        <c:axId val="518328872"/>
        <c:scaling>
          <c:orientation val="minMax"/>
        </c:scaling>
        <c:delete val="0"/>
        <c:axPos val="b"/>
        <c:numFmt formatCode="m/d/yy;@" sourceLinked="0"/>
        <c:majorTickMark val="out"/>
        <c:minorTickMark val="none"/>
        <c:tickLblPos val="nextTo"/>
        <c:spPr>
          <a:ln w="3175">
            <a:solidFill>
              <a:srgbClr val="000000"/>
            </a:solidFill>
            <a:prstDash val="solid"/>
          </a:ln>
        </c:spPr>
        <c:txPr>
          <a:bodyPr rot="-3720000" vert="horz"/>
          <a:lstStyle/>
          <a:p>
            <a:pPr>
              <a:defRPr sz="750" b="0" i="0" u="none" strike="noStrike" baseline="0">
                <a:solidFill>
                  <a:srgbClr val="000000"/>
                </a:solidFill>
                <a:latin typeface="Times New Roman"/>
                <a:ea typeface="Times New Roman"/>
                <a:cs typeface="Times New Roman"/>
              </a:defRPr>
            </a:pPr>
            <a:endParaRPr lang="en-US"/>
          </a:p>
        </c:txPr>
        <c:crossAx val="518327696"/>
        <c:crosses val="autoZero"/>
        <c:auto val="1"/>
        <c:lblOffset val="100"/>
        <c:baseTimeUnit val="days"/>
        <c:majorUnit val="14"/>
        <c:majorTimeUnit val="days"/>
        <c:minorUnit val="1"/>
        <c:minorTimeUnit val="days"/>
      </c:dateAx>
      <c:valAx>
        <c:axId val="518327696"/>
        <c:scaling>
          <c:orientation val="minMax"/>
          <c:max val="1400"/>
          <c:min val="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Times New Roman"/>
                <a:ea typeface="Times New Roman"/>
                <a:cs typeface="Times New Roman"/>
              </a:defRPr>
            </a:pPr>
            <a:endParaRPr lang="en-US"/>
          </a:p>
        </c:txPr>
        <c:crossAx val="518328872"/>
        <c:crosses val="autoZero"/>
        <c:crossBetween val="between"/>
      </c:valAx>
      <c:spPr>
        <a:solidFill>
          <a:srgbClr val="FFFFFF"/>
        </a:solidFill>
        <a:ln w="12700">
          <a:solidFill>
            <a:srgbClr val="C0C0C0"/>
          </a:solidFill>
          <a:prstDash val="solid"/>
        </a:ln>
      </c:spPr>
    </c:plotArea>
    <c:legend>
      <c:legendPos val="r"/>
      <c:layout>
        <c:manualLayout>
          <c:xMode val="edge"/>
          <c:yMode val="edge"/>
          <c:x val="7.9448014319109875E-2"/>
          <c:y val="0.20005298633445467"/>
          <c:w val="0.41928334291921171"/>
          <c:h val="9.4809495644030434E-2"/>
        </c:manualLayout>
      </c:layout>
      <c:overlay val="0"/>
      <c:spPr>
        <a:noFill/>
        <a:ln w="25400">
          <a:noFill/>
        </a:ln>
      </c:spPr>
      <c:txPr>
        <a:bodyPr/>
        <a:lstStyle/>
        <a:p>
          <a:pPr>
            <a:defRPr sz="700" b="0" i="0" u="none" strike="noStrike" baseline="0">
              <a:solidFill>
                <a:srgbClr val="000000"/>
              </a:solidFill>
              <a:latin typeface="Times New Roman"/>
              <a:ea typeface="Times New Roman"/>
              <a:cs typeface="Times New Roman"/>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1465" r="0.75000000000001465"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3483760787101"/>
          <c:y val="4.6425880881410191E-2"/>
          <c:w val="0.8690925990297278"/>
          <c:h val="0.71522309711286092"/>
        </c:manualLayout>
      </c:layout>
      <c:lineChart>
        <c:grouping val="standard"/>
        <c:varyColors val="0"/>
        <c:ser>
          <c:idx val="0"/>
          <c:order val="0"/>
          <c:tx>
            <c:strRef>
              <c:f>Data!$E$6</c:f>
              <c:strCache>
                <c:ptCount val="1"/>
                <c:pt idx="0">
                  <c:v>Downbound grain barges Locks 27, 1, and Olmsted</c:v>
                </c:pt>
              </c:strCache>
            </c:strRef>
          </c:tx>
          <c:spPr>
            <a:ln w="15875">
              <a:solidFill>
                <a:srgbClr val="000080"/>
              </a:solidFill>
              <a:prstDash val="solid"/>
            </a:ln>
          </c:spPr>
          <c:marker>
            <c:symbol val="circle"/>
            <c:size val="5"/>
            <c:spPr>
              <a:solidFill>
                <a:srgbClr val="000080"/>
              </a:solidFill>
              <a:ln>
                <a:solidFill>
                  <a:srgbClr val="000080"/>
                </a:solidFill>
                <a:prstDash val="solid"/>
              </a:ln>
            </c:spPr>
          </c:marker>
          <c:cat>
            <c:numRef>
              <c:f>'Figure text'!$E$2:$E$54</c:f>
              <c:numCache>
                <c:formatCode>m/d/yyyy</c:formatCode>
                <c:ptCount val="53"/>
                <c:pt idx="0">
                  <c:v>45402</c:v>
                </c:pt>
                <c:pt idx="1">
                  <c:v>45409</c:v>
                </c:pt>
                <c:pt idx="2">
                  <c:v>45416</c:v>
                </c:pt>
                <c:pt idx="3">
                  <c:v>45423</c:v>
                </c:pt>
                <c:pt idx="4">
                  <c:v>45430</c:v>
                </c:pt>
                <c:pt idx="5">
                  <c:v>45437</c:v>
                </c:pt>
                <c:pt idx="6">
                  <c:v>45444</c:v>
                </c:pt>
                <c:pt idx="7">
                  <c:v>45451</c:v>
                </c:pt>
                <c:pt idx="8">
                  <c:v>45458</c:v>
                </c:pt>
                <c:pt idx="9">
                  <c:v>45465</c:v>
                </c:pt>
                <c:pt idx="10">
                  <c:v>45472</c:v>
                </c:pt>
                <c:pt idx="11">
                  <c:v>45479</c:v>
                </c:pt>
                <c:pt idx="12">
                  <c:v>45486</c:v>
                </c:pt>
                <c:pt idx="13">
                  <c:v>45493</c:v>
                </c:pt>
                <c:pt idx="14">
                  <c:v>45500</c:v>
                </c:pt>
                <c:pt idx="15">
                  <c:v>45507</c:v>
                </c:pt>
                <c:pt idx="16">
                  <c:v>45514</c:v>
                </c:pt>
                <c:pt idx="17">
                  <c:v>45521</c:v>
                </c:pt>
                <c:pt idx="18">
                  <c:v>45528</c:v>
                </c:pt>
                <c:pt idx="19">
                  <c:v>45535</c:v>
                </c:pt>
                <c:pt idx="20">
                  <c:v>45542</c:v>
                </c:pt>
                <c:pt idx="21">
                  <c:v>45549</c:v>
                </c:pt>
                <c:pt idx="22">
                  <c:v>45556</c:v>
                </c:pt>
                <c:pt idx="23">
                  <c:v>45563</c:v>
                </c:pt>
                <c:pt idx="24">
                  <c:v>45570</c:v>
                </c:pt>
                <c:pt idx="25">
                  <c:v>45577</c:v>
                </c:pt>
                <c:pt idx="26">
                  <c:v>45584</c:v>
                </c:pt>
                <c:pt idx="27">
                  <c:v>45591</c:v>
                </c:pt>
                <c:pt idx="28">
                  <c:v>45598</c:v>
                </c:pt>
                <c:pt idx="29">
                  <c:v>45605</c:v>
                </c:pt>
                <c:pt idx="30">
                  <c:v>45612</c:v>
                </c:pt>
                <c:pt idx="31">
                  <c:v>45619</c:v>
                </c:pt>
                <c:pt idx="32">
                  <c:v>45626</c:v>
                </c:pt>
                <c:pt idx="33">
                  <c:v>45633</c:v>
                </c:pt>
                <c:pt idx="34">
                  <c:v>45640</c:v>
                </c:pt>
                <c:pt idx="35">
                  <c:v>45647</c:v>
                </c:pt>
                <c:pt idx="36">
                  <c:v>45654</c:v>
                </c:pt>
                <c:pt idx="37">
                  <c:v>45661</c:v>
                </c:pt>
                <c:pt idx="38">
                  <c:v>45668</c:v>
                </c:pt>
                <c:pt idx="39">
                  <c:v>45675</c:v>
                </c:pt>
                <c:pt idx="40">
                  <c:v>45682</c:v>
                </c:pt>
                <c:pt idx="41">
                  <c:v>45689</c:v>
                </c:pt>
                <c:pt idx="42">
                  <c:v>45696</c:v>
                </c:pt>
                <c:pt idx="43">
                  <c:v>45703</c:v>
                </c:pt>
                <c:pt idx="44">
                  <c:v>45710</c:v>
                </c:pt>
                <c:pt idx="45">
                  <c:v>45717</c:v>
                </c:pt>
                <c:pt idx="46">
                  <c:v>45724</c:v>
                </c:pt>
                <c:pt idx="47">
                  <c:v>45731</c:v>
                </c:pt>
                <c:pt idx="48">
                  <c:v>45738</c:v>
                </c:pt>
                <c:pt idx="49">
                  <c:v>45745</c:v>
                </c:pt>
                <c:pt idx="50">
                  <c:v>45752</c:v>
                </c:pt>
                <c:pt idx="51">
                  <c:v>45759</c:v>
                </c:pt>
                <c:pt idx="52">
                  <c:v>45766</c:v>
                </c:pt>
              </c:numCache>
            </c:numRef>
          </c:cat>
          <c:val>
            <c:numRef>
              <c:f>'Figure text'!$F$2:$F$54</c:f>
              <c:numCache>
                <c:formatCode>General</c:formatCode>
                <c:ptCount val="53"/>
                <c:pt idx="0">
                  <c:v>314</c:v>
                </c:pt>
                <c:pt idx="1">
                  <c:v>308</c:v>
                </c:pt>
                <c:pt idx="2">
                  <c:v>269</c:v>
                </c:pt>
                <c:pt idx="3">
                  <c:v>326</c:v>
                </c:pt>
                <c:pt idx="4">
                  <c:v>458</c:v>
                </c:pt>
                <c:pt idx="5">
                  <c:v>389</c:v>
                </c:pt>
                <c:pt idx="6">
                  <c:v>389</c:v>
                </c:pt>
                <c:pt idx="7">
                  <c:v>230</c:v>
                </c:pt>
                <c:pt idx="8">
                  <c:v>318</c:v>
                </c:pt>
                <c:pt idx="9">
                  <c:v>320</c:v>
                </c:pt>
                <c:pt idx="10">
                  <c:v>363</c:v>
                </c:pt>
                <c:pt idx="11">
                  <c:v>275</c:v>
                </c:pt>
                <c:pt idx="12">
                  <c:v>185</c:v>
                </c:pt>
                <c:pt idx="13">
                  <c:v>225</c:v>
                </c:pt>
                <c:pt idx="14">
                  <c:v>424</c:v>
                </c:pt>
                <c:pt idx="15">
                  <c:v>389</c:v>
                </c:pt>
                <c:pt idx="16">
                  <c:v>501</c:v>
                </c:pt>
                <c:pt idx="17">
                  <c:v>450</c:v>
                </c:pt>
                <c:pt idx="18">
                  <c:v>384</c:v>
                </c:pt>
                <c:pt idx="19">
                  <c:v>357</c:v>
                </c:pt>
                <c:pt idx="20">
                  <c:v>266</c:v>
                </c:pt>
                <c:pt idx="21">
                  <c:v>235</c:v>
                </c:pt>
                <c:pt idx="22">
                  <c:v>312</c:v>
                </c:pt>
                <c:pt idx="23">
                  <c:v>240</c:v>
                </c:pt>
                <c:pt idx="24">
                  <c:v>246</c:v>
                </c:pt>
                <c:pt idx="25">
                  <c:v>356</c:v>
                </c:pt>
                <c:pt idx="26">
                  <c:v>343</c:v>
                </c:pt>
                <c:pt idx="27">
                  <c:v>428</c:v>
                </c:pt>
                <c:pt idx="28">
                  <c:v>514</c:v>
                </c:pt>
                <c:pt idx="29">
                  <c:v>499</c:v>
                </c:pt>
                <c:pt idx="30">
                  <c:v>541</c:v>
                </c:pt>
                <c:pt idx="31">
                  <c:v>570</c:v>
                </c:pt>
                <c:pt idx="32">
                  <c:v>556</c:v>
                </c:pt>
                <c:pt idx="33">
                  <c:v>493</c:v>
                </c:pt>
                <c:pt idx="34">
                  <c:v>619</c:v>
                </c:pt>
                <c:pt idx="35">
                  <c:v>547</c:v>
                </c:pt>
                <c:pt idx="36">
                  <c:v>631</c:v>
                </c:pt>
                <c:pt idx="37">
                  <c:v>445</c:v>
                </c:pt>
                <c:pt idx="38">
                  <c:v>293</c:v>
                </c:pt>
                <c:pt idx="39">
                  <c:v>284</c:v>
                </c:pt>
                <c:pt idx="40">
                  <c:v>421</c:v>
                </c:pt>
                <c:pt idx="41">
                  <c:v>392</c:v>
                </c:pt>
                <c:pt idx="42">
                  <c:v>389</c:v>
                </c:pt>
                <c:pt idx="43">
                  <c:v>423</c:v>
                </c:pt>
                <c:pt idx="44">
                  <c:v>271</c:v>
                </c:pt>
                <c:pt idx="45">
                  <c:v>301</c:v>
                </c:pt>
                <c:pt idx="46">
                  <c:v>248</c:v>
                </c:pt>
                <c:pt idx="47">
                  <c:v>507</c:v>
                </c:pt>
                <c:pt idx="48">
                  <c:v>459</c:v>
                </c:pt>
                <c:pt idx="49">
                  <c:v>574</c:v>
                </c:pt>
                <c:pt idx="50">
                  <c:v>263</c:v>
                </c:pt>
                <c:pt idx="51">
                  <c:v>349</c:v>
                </c:pt>
                <c:pt idx="52">
                  <c:v>352</c:v>
                </c:pt>
              </c:numCache>
            </c:numRef>
          </c:val>
          <c:smooth val="0"/>
          <c:extLst>
            <c:ext xmlns:c16="http://schemas.microsoft.com/office/drawing/2014/chart" uri="{C3380CC4-5D6E-409C-BE32-E72D297353CC}">
              <c16:uniqueId val="{00000000-4778-48F6-91BD-18A65EDBCFFA}"/>
            </c:ext>
          </c:extLst>
        </c:ser>
        <c:ser>
          <c:idx val="1"/>
          <c:order val="1"/>
          <c:tx>
            <c:strRef>
              <c:f>Data!$F$6</c:f>
              <c:strCache>
                <c:ptCount val="1"/>
                <c:pt idx="0">
                  <c:v>Grain barges unloaded in New Orleans </c:v>
                </c:pt>
              </c:strCache>
            </c:strRef>
          </c:tx>
          <c:spPr>
            <a:ln w="15875">
              <a:solidFill>
                <a:schemeClr val="accent6">
                  <a:lumMod val="75000"/>
                </a:schemeClr>
              </a:solidFill>
              <a:prstDash val="solid"/>
            </a:ln>
          </c:spPr>
          <c:marker>
            <c:symbol val="square"/>
            <c:size val="5"/>
            <c:spPr>
              <a:solidFill>
                <a:srgbClr val="FF9900"/>
              </a:solidFill>
              <a:ln>
                <a:solidFill>
                  <a:srgbClr val="FF9900"/>
                </a:solidFill>
                <a:prstDash val="solid"/>
              </a:ln>
            </c:spPr>
          </c:marker>
          <c:dPt>
            <c:idx val="52"/>
            <c:marker>
              <c:spPr>
                <a:solidFill>
                  <a:srgbClr val="FF9900"/>
                </a:solidFill>
                <a:ln>
                  <a:solidFill>
                    <a:schemeClr val="accent6"/>
                  </a:solidFill>
                  <a:prstDash val="solid"/>
                </a:ln>
              </c:spPr>
            </c:marker>
            <c:bubble3D val="0"/>
            <c:extLst>
              <c:ext xmlns:c16="http://schemas.microsoft.com/office/drawing/2014/chart" uri="{C3380CC4-5D6E-409C-BE32-E72D297353CC}">
                <c16:uniqueId val="{00000000-D386-433F-8F3A-BBF02FC8FA12}"/>
              </c:ext>
            </c:extLst>
          </c:dPt>
          <c:cat>
            <c:numRef>
              <c:f>'Figure text'!$E$2:$E$54</c:f>
              <c:numCache>
                <c:formatCode>m/d/yyyy</c:formatCode>
                <c:ptCount val="53"/>
                <c:pt idx="0">
                  <c:v>45402</c:v>
                </c:pt>
                <c:pt idx="1">
                  <c:v>45409</c:v>
                </c:pt>
                <c:pt idx="2">
                  <c:v>45416</c:v>
                </c:pt>
                <c:pt idx="3">
                  <c:v>45423</c:v>
                </c:pt>
                <c:pt idx="4">
                  <c:v>45430</c:v>
                </c:pt>
                <c:pt idx="5">
                  <c:v>45437</c:v>
                </c:pt>
                <c:pt idx="6">
                  <c:v>45444</c:v>
                </c:pt>
                <c:pt idx="7">
                  <c:v>45451</c:v>
                </c:pt>
                <c:pt idx="8">
                  <c:v>45458</c:v>
                </c:pt>
                <c:pt idx="9">
                  <c:v>45465</c:v>
                </c:pt>
                <c:pt idx="10">
                  <c:v>45472</c:v>
                </c:pt>
                <c:pt idx="11">
                  <c:v>45479</c:v>
                </c:pt>
                <c:pt idx="12">
                  <c:v>45486</c:v>
                </c:pt>
                <c:pt idx="13">
                  <c:v>45493</c:v>
                </c:pt>
                <c:pt idx="14">
                  <c:v>45500</c:v>
                </c:pt>
                <c:pt idx="15">
                  <c:v>45507</c:v>
                </c:pt>
                <c:pt idx="16">
                  <c:v>45514</c:v>
                </c:pt>
                <c:pt idx="17">
                  <c:v>45521</c:v>
                </c:pt>
                <c:pt idx="18">
                  <c:v>45528</c:v>
                </c:pt>
                <c:pt idx="19">
                  <c:v>45535</c:v>
                </c:pt>
                <c:pt idx="20">
                  <c:v>45542</c:v>
                </c:pt>
                <c:pt idx="21">
                  <c:v>45549</c:v>
                </c:pt>
                <c:pt idx="22">
                  <c:v>45556</c:v>
                </c:pt>
                <c:pt idx="23">
                  <c:v>45563</c:v>
                </c:pt>
                <c:pt idx="24">
                  <c:v>45570</c:v>
                </c:pt>
                <c:pt idx="25">
                  <c:v>45577</c:v>
                </c:pt>
                <c:pt idx="26">
                  <c:v>45584</c:v>
                </c:pt>
                <c:pt idx="27">
                  <c:v>45591</c:v>
                </c:pt>
                <c:pt idx="28">
                  <c:v>45598</c:v>
                </c:pt>
                <c:pt idx="29">
                  <c:v>45605</c:v>
                </c:pt>
                <c:pt idx="30">
                  <c:v>45612</c:v>
                </c:pt>
                <c:pt idx="31">
                  <c:v>45619</c:v>
                </c:pt>
                <c:pt idx="32">
                  <c:v>45626</c:v>
                </c:pt>
                <c:pt idx="33">
                  <c:v>45633</c:v>
                </c:pt>
                <c:pt idx="34">
                  <c:v>45640</c:v>
                </c:pt>
                <c:pt idx="35">
                  <c:v>45647</c:v>
                </c:pt>
                <c:pt idx="36">
                  <c:v>45654</c:v>
                </c:pt>
                <c:pt idx="37">
                  <c:v>45661</c:v>
                </c:pt>
                <c:pt idx="38">
                  <c:v>45668</c:v>
                </c:pt>
                <c:pt idx="39">
                  <c:v>45675</c:v>
                </c:pt>
                <c:pt idx="40">
                  <c:v>45682</c:v>
                </c:pt>
                <c:pt idx="41">
                  <c:v>45689</c:v>
                </c:pt>
                <c:pt idx="42">
                  <c:v>45696</c:v>
                </c:pt>
                <c:pt idx="43">
                  <c:v>45703</c:v>
                </c:pt>
                <c:pt idx="44">
                  <c:v>45710</c:v>
                </c:pt>
                <c:pt idx="45">
                  <c:v>45717</c:v>
                </c:pt>
                <c:pt idx="46">
                  <c:v>45724</c:v>
                </c:pt>
                <c:pt idx="47">
                  <c:v>45731</c:v>
                </c:pt>
                <c:pt idx="48">
                  <c:v>45738</c:v>
                </c:pt>
                <c:pt idx="49">
                  <c:v>45745</c:v>
                </c:pt>
                <c:pt idx="50">
                  <c:v>45752</c:v>
                </c:pt>
                <c:pt idx="51">
                  <c:v>45759</c:v>
                </c:pt>
                <c:pt idx="52">
                  <c:v>45766</c:v>
                </c:pt>
              </c:numCache>
            </c:numRef>
          </c:cat>
          <c:val>
            <c:numRef>
              <c:f>'Figure text'!$G$2:$G$54</c:f>
              <c:numCache>
                <c:formatCode>General</c:formatCode>
                <c:ptCount val="53"/>
                <c:pt idx="0">
                  <c:v>542</c:v>
                </c:pt>
                <c:pt idx="1">
                  <c:v>549</c:v>
                </c:pt>
                <c:pt idx="2">
                  <c:v>463</c:v>
                </c:pt>
                <c:pt idx="3">
                  <c:v>594</c:v>
                </c:pt>
                <c:pt idx="4">
                  <c:v>276</c:v>
                </c:pt>
                <c:pt idx="5">
                  <c:v>479</c:v>
                </c:pt>
                <c:pt idx="6">
                  <c:v>564</c:v>
                </c:pt>
                <c:pt idx="7">
                  <c:v>498</c:v>
                </c:pt>
                <c:pt idx="8">
                  <c:v>597</c:v>
                </c:pt>
                <c:pt idx="9">
                  <c:v>306</c:v>
                </c:pt>
                <c:pt idx="10">
                  <c:v>336</c:v>
                </c:pt>
                <c:pt idx="11">
                  <c:v>447</c:v>
                </c:pt>
                <c:pt idx="12">
                  <c:v>513</c:v>
                </c:pt>
                <c:pt idx="13">
                  <c:v>401</c:v>
                </c:pt>
                <c:pt idx="14">
                  <c:v>472</c:v>
                </c:pt>
                <c:pt idx="15">
                  <c:v>593</c:v>
                </c:pt>
                <c:pt idx="16">
                  <c:v>595</c:v>
                </c:pt>
                <c:pt idx="17">
                  <c:v>412</c:v>
                </c:pt>
                <c:pt idx="18">
                  <c:v>518</c:v>
                </c:pt>
                <c:pt idx="19">
                  <c:v>579</c:v>
                </c:pt>
                <c:pt idx="20">
                  <c:v>464</c:v>
                </c:pt>
                <c:pt idx="21">
                  <c:v>379</c:v>
                </c:pt>
                <c:pt idx="22">
                  <c:v>712</c:v>
                </c:pt>
                <c:pt idx="23">
                  <c:v>846</c:v>
                </c:pt>
                <c:pt idx="24">
                  <c:v>759</c:v>
                </c:pt>
                <c:pt idx="25">
                  <c:v>851</c:v>
                </c:pt>
                <c:pt idx="26">
                  <c:v>932</c:v>
                </c:pt>
                <c:pt idx="27">
                  <c:v>911</c:v>
                </c:pt>
                <c:pt idx="28">
                  <c:v>806</c:v>
                </c:pt>
                <c:pt idx="29">
                  <c:v>981</c:v>
                </c:pt>
                <c:pt idx="30">
                  <c:v>933</c:v>
                </c:pt>
                <c:pt idx="31">
                  <c:v>998</c:v>
                </c:pt>
                <c:pt idx="32">
                  <c:v>983</c:v>
                </c:pt>
                <c:pt idx="33">
                  <c:v>868</c:v>
                </c:pt>
                <c:pt idx="34">
                  <c:v>878</c:v>
                </c:pt>
                <c:pt idx="35">
                  <c:v>877</c:v>
                </c:pt>
                <c:pt idx="36">
                  <c:v>720</c:v>
                </c:pt>
                <c:pt idx="37">
                  <c:v>919</c:v>
                </c:pt>
                <c:pt idx="38">
                  <c:v>838</c:v>
                </c:pt>
                <c:pt idx="39">
                  <c:v>911</c:v>
                </c:pt>
                <c:pt idx="40">
                  <c:v>418</c:v>
                </c:pt>
                <c:pt idx="41">
                  <c:v>865</c:v>
                </c:pt>
                <c:pt idx="42">
                  <c:v>640</c:v>
                </c:pt>
                <c:pt idx="43">
                  <c:v>703</c:v>
                </c:pt>
                <c:pt idx="44">
                  <c:v>745</c:v>
                </c:pt>
                <c:pt idx="45">
                  <c:v>635</c:v>
                </c:pt>
                <c:pt idx="46">
                  <c:v>727</c:v>
                </c:pt>
                <c:pt idx="47">
                  <c:v>704</c:v>
                </c:pt>
                <c:pt idx="48">
                  <c:v>853</c:v>
                </c:pt>
                <c:pt idx="49">
                  <c:v>715</c:v>
                </c:pt>
                <c:pt idx="50">
                  <c:v>747</c:v>
                </c:pt>
                <c:pt idx="51">
                  <c:v>735</c:v>
                </c:pt>
                <c:pt idx="52">
                  <c:v>575</c:v>
                </c:pt>
              </c:numCache>
            </c:numRef>
          </c:val>
          <c:smooth val="0"/>
          <c:extLst>
            <c:ext xmlns:c16="http://schemas.microsoft.com/office/drawing/2014/chart" uri="{C3380CC4-5D6E-409C-BE32-E72D297353CC}">
              <c16:uniqueId val="{00000001-4778-48F6-91BD-18A65EDBCFFA}"/>
            </c:ext>
          </c:extLst>
        </c:ser>
        <c:dLbls>
          <c:showLegendKey val="0"/>
          <c:showVal val="0"/>
          <c:showCatName val="0"/>
          <c:showSerName val="0"/>
          <c:showPercent val="0"/>
          <c:showBubbleSize val="0"/>
        </c:dLbls>
        <c:marker val="1"/>
        <c:smooth val="0"/>
        <c:axId val="518328872"/>
        <c:axId val="518327696"/>
      </c:lineChart>
      <c:dateAx>
        <c:axId val="518328872"/>
        <c:scaling>
          <c:orientation val="minMax"/>
        </c:scaling>
        <c:delete val="0"/>
        <c:axPos val="b"/>
        <c:numFmt formatCode="m/d/yy;@" sourceLinked="0"/>
        <c:majorTickMark val="out"/>
        <c:minorTickMark val="none"/>
        <c:tickLblPos val="nextTo"/>
        <c:spPr>
          <a:ln w="3175">
            <a:solidFill>
              <a:srgbClr val="000000"/>
            </a:solidFill>
            <a:prstDash val="solid"/>
          </a:ln>
        </c:spPr>
        <c:txPr>
          <a:bodyPr rot="-3600000" vert="horz"/>
          <a:lstStyle/>
          <a:p>
            <a:pPr>
              <a:defRPr sz="1200" b="0" i="0" u="none" strike="noStrike" baseline="0">
                <a:solidFill>
                  <a:srgbClr val="000000"/>
                </a:solidFill>
                <a:latin typeface="+mn-lt"/>
                <a:ea typeface="Times New Roman"/>
                <a:cs typeface="Times New Roman"/>
              </a:defRPr>
            </a:pPr>
            <a:endParaRPr lang="en-US"/>
          </a:p>
        </c:txPr>
        <c:crossAx val="518327696"/>
        <c:crosses val="autoZero"/>
        <c:auto val="1"/>
        <c:lblOffset val="100"/>
        <c:baseTimeUnit val="days"/>
        <c:majorUnit val="14"/>
        <c:majorTimeUnit val="days"/>
        <c:minorUnit val="1"/>
        <c:minorTimeUnit val="days"/>
      </c:dateAx>
      <c:valAx>
        <c:axId val="518327696"/>
        <c:scaling>
          <c:orientation val="minMax"/>
          <c:max val="1400"/>
          <c:min val="0"/>
        </c:scaling>
        <c:delete val="0"/>
        <c:axPos val="l"/>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mn-lt"/>
                <a:ea typeface="Times New Roman"/>
                <a:cs typeface="Times New Roman"/>
              </a:defRPr>
            </a:pPr>
            <a:endParaRPr lang="en-US"/>
          </a:p>
        </c:txPr>
        <c:crossAx val="518328872"/>
        <c:crosses val="autoZero"/>
        <c:crossBetween val="between"/>
      </c:valAx>
      <c:spPr>
        <a:solidFill>
          <a:srgbClr val="FFFFFF"/>
        </a:solidFill>
        <a:ln w="12700">
          <a:solidFill>
            <a:schemeClr val="tx1"/>
          </a:solidFill>
          <a:prstDash val="solid"/>
        </a:ln>
      </c:spPr>
    </c:plotArea>
    <c:legend>
      <c:legendPos val="r"/>
      <c:layout>
        <c:manualLayout>
          <c:xMode val="edge"/>
          <c:yMode val="edge"/>
          <c:x val="0.12406536994775845"/>
          <c:y val="7.8299368629876701E-2"/>
          <c:w val="0.46406907269988562"/>
          <c:h val="0.13169026642370343"/>
        </c:manualLayout>
      </c:layout>
      <c:overlay val="0"/>
      <c:spPr>
        <a:solidFill>
          <a:schemeClr val="bg1">
            <a:lumMod val="95000"/>
          </a:schemeClr>
        </a:solidFill>
        <a:ln w="12700">
          <a:solidFill>
            <a:schemeClr val="bg1">
              <a:lumMod val="50000"/>
            </a:schemeClr>
          </a:solidFill>
        </a:ln>
      </c:spPr>
      <c:txPr>
        <a:bodyPr/>
        <a:lstStyle/>
        <a:p>
          <a:pPr>
            <a:defRPr sz="1200" b="0" i="0" u="none" strike="noStrike" baseline="0">
              <a:solidFill>
                <a:srgbClr val="000000"/>
              </a:solidFill>
              <a:latin typeface="+mn-lt"/>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1465" r="0.75000000000001465" t="1" header="0.5" footer="0.5"/>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153183319429049E-2"/>
          <c:y val="4.642603533669995E-2"/>
          <c:w val="0.92379099383259244"/>
          <c:h val="0.77184022110342254"/>
        </c:manualLayout>
      </c:layout>
      <c:lineChart>
        <c:grouping val="standard"/>
        <c:varyColors val="0"/>
        <c:ser>
          <c:idx val="0"/>
          <c:order val="0"/>
          <c:tx>
            <c:strRef>
              <c:f>Data!$E$6</c:f>
              <c:strCache>
                <c:ptCount val="1"/>
                <c:pt idx="0">
                  <c:v>Downbound grain barges Locks 27, 1, and Olmsted</c:v>
                </c:pt>
              </c:strCache>
            </c:strRef>
          </c:tx>
          <c:spPr>
            <a:ln w="25400">
              <a:solidFill>
                <a:srgbClr val="000080"/>
              </a:solidFill>
              <a:prstDash val="solid"/>
            </a:ln>
          </c:spPr>
          <c:marker>
            <c:symbol val="diamond"/>
            <c:size val="4"/>
            <c:spPr>
              <a:solidFill>
                <a:srgbClr val="000080"/>
              </a:solidFill>
              <a:ln>
                <a:solidFill>
                  <a:srgbClr val="000080"/>
                </a:solidFill>
                <a:prstDash val="solid"/>
              </a:ln>
            </c:spPr>
          </c:marker>
          <c:cat>
            <c:numRef>
              <c:f>Data!$A$123:$A$450</c:f>
              <c:numCache>
                <c:formatCode>mm/dd/yy;@</c:formatCode>
                <c:ptCount val="328"/>
                <c:pt idx="0">
                  <c:v>39452</c:v>
                </c:pt>
                <c:pt idx="1">
                  <c:v>39459</c:v>
                </c:pt>
                <c:pt idx="2">
                  <c:v>39466</c:v>
                </c:pt>
                <c:pt idx="3">
                  <c:v>39473</c:v>
                </c:pt>
                <c:pt idx="4">
                  <c:v>39480</c:v>
                </c:pt>
                <c:pt idx="5">
                  <c:v>39487</c:v>
                </c:pt>
                <c:pt idx="6">
                  <c:v>39494</c:v>
                </c:pt>
                <c:pt idx="7">
                  <c:v>39501</c:v>
                </c:pt>
                <c:pt idx="8">
                  <c:v>39508</c:v>
                </c:pt>
                <c:pt idx="9">
                  <c:v>39515</c:v>
                </c:pt>
                <c:pt idx="10">
                  <c:v>39522</c:v>
                </c:pt>
                <c:pt idx="11">
                  <c:v>39529</c:v>
                </c:pt>
                <c:pt idx="12">
                  <c:v>39536</c:v>
                </c:pt>
                <c:pt idx="13">
                  <c:v>39543</c:v>
                </c:pt>
                <c:pt idx="14">
                  <c:v>39550</c:v>
                </c:pt>
                <c:pt idx="15">
                  <c:v>39557</c:v>
                </c:pt>
                <c:pt idx="16">
                  <c:v>39564</c:v>
                </c:pt>
                <c:pt idx="17">
                  <c:v>39571</c:v>
                </c:pt>
                <c:pt idx="18">
                  <c:v>39578</c:v>
                </c:pt>
                <c:pt idx="19">
                  <c:v>39585</c:v>
                </c:pt>
                <c:pt idx="20">
                  <c:v>39592</c:v>
                </c:pt>
                <c:pt idx="21">
                  <c:v>39599</c:v>
                </c:pt>
                <c:pt idx="22">
                  <c:v>39606</c:v>
                </c:pt>
                <c:pt idx="23">
                  <c:v>39613</c:v>
                </c:pt>
                <c:pt idx="24">
                  <c:v>39620</c:v>
                </c:pt>
                <c:pt idx="25">
                  <c:v>39627</c:v>
                </c:pt>
                <c:pt idx="26">
                  <c:v>39634</c:v>
                </c:pt>
                <c:pt idx="27">
                  <c:v>39641</c:v>
                </c:pt>
                <c:pt idx="28">
                  <c:v>39648</c:v>
                </c:pt>
                <c:pt idx="29">
                  <c:v>39655</c:v>
                </c:pt>
                <c:pt idx="30">
                  <c:v>39662</c:v>
                </c:pt>
                <c:pt idx="31">
                  <c:v>39669</c:v>
                </c:pt>
                <c:pt idx="32">
                  <c:v>39676</c:v>
                </c:pt>
                <c:pt idx="33">
                  <c:v>39683</c:v>
                </c:pt>
                <c:pt idx="34">
                  <c:v>39690</c:v>
                </c:pt>
                <c:pt idx="35">
                  <c:v>39697</c:v>
                </c:pt>
                <c:pt idx="36">
                  <c:v>39704</c:v>
                </c:pt>
                <c:pt idx="37">
                  <c:v>39711</c:v>
                </c:pt>
                <c:pt idx="38">
                  <c:v>39718</c:v>
                </c:pt>
                <c:pt idx="39">
                  <c:v>39725</c:v>
                </c:pt>
                <c:pt idx="40">
                  <c:v>39732</c:v>
                </c:pt>
                <c:pt idx="41">
                  <c:v>39739</c:v>
                </c:pt>
                <c:pt idx="42">
                  <c:v>39746</c:v>
                </c:pt>
                <c:pt idx="43">
                  <c:v>39753</c:v>
                </c:pt>
                <c:pt idx="44">
                  <c:v>39760</c:v>
                </c:pt>
                <c:pt idx="45">
                  <c:v>39767</c:v>
                </c:pt>
                <c:pt idx="46">
                  <c:v>39774</c:v>
                </c:pt>
                <c:pt idx="47">
                  <c:v>39781</c:v>
                </c:pt>
                <c:pt idx="48">
                  <c:v>39788</c:v>
                </c:pt>
                <c:pt idx="49">
                  <c:v>39795</c:v>
                </c:pt>
                <c:pt idx="50">
                  <c:v>39802</c:v>
                </c:pt>
                <c:pt idx="51">
                  <c:v>39809</c:v>
                </c:pt>
                <c:pt idx="52">
                  <c:v>39816</c:v>
                </c:pt>
                <c:pt idx="53">
                  <c:v>39823</c:v>
                </c:pt>
                <c:pt idx="54">
                  <c:v>39830</c:v>
                </c:pt>
                <c:pt idx="55">
                  <c:v>39837</c:v>
                </c:pt>
                <c:pt idx="56">
                  <c:v>39844</c:v>
                </c:pt>
                <c:pt idx="57">
                  <c:v>39851</c:v>
                </c:pt>
                <c:pt idx="58">
                  <c:v>39858</c:v>
                </c:pt>
                <c:pt idx="59">
                  <c:v>39865</c:v>
                </c:pt>
                <c:pt idx="60">
                  <c:v>39872</c:v>
                </c:pt>
                <c:pt idx="61">
                  <c:v>39879</c:v>
                </c:pt>
                <c:pt idx="62">
                  <c:v>39886</c:v>
                </c:pt>
                <c:pt idx="63">
                  <c:v>39893</c:v>
                </c:pt>
                <c:pt idx="64">
                  <c:v>39900</c:v>
                </c:pt>
                <c:pt idx="65">
                  <c:v>39907</c:v>
                </c:pt>
                <c:pt idx="66">
                  <c:v>39914</c:v>
                </c:pt>
                <c:pt idx="67">
                  <c:v>39921</c:v>
                </c:pt>
                <c:pt idx="68">
                  <c:v>39928</c:v>
                </c:pt>
                <c:pt idx="69">
                  <c:v>39935</c:v>
                </c:pt>
                <c:pt idx="70">
                  <c:v>39942</c:v>
                </c:pt>
                <c:pt idx="71">
                  <c:v>39949</c:v>
                </c:pt>
                <c:pt idx="72">
                  <c:v>39956</c:v>
                </c:pt>
                <c:pt idx="73">
                  <c:v>39963</c:v>
                </c:pt>
                <c:pt idx="74">
                  <c:v>39970</c:v>
                </c:pt>
                <c:pt idx="75">
                  <c:v>39977</c:v>
                </c:pt>
                <c:pt idx="76">
                  <c:v>39984</c:v>
                </c:pt>
                <c:pt idx="77">
                  <c:v>39991</c:v>
                </c:pt>
                <c:pt idx="78">
                  <c:v>39998</c:v>
                </c:pt>
                <c:pt idx="79">
                  <c:v>40005</c:v>
                </c:pt>
                <c:pt idx="80">
                  <c:v>40012</c:v>
                </c:pt>
                <c:pt idx="81">
                  <c:v>40019</c:v>
                </c:pt>
                <c:pt idx="82">
                  <c:v>40026</c:v>
                </c:pt>
                <c:pt idx="83">
                  <c:v>40033</c:v>
                </c:pt>
                <c:pt idx="84">
                  <c:v>40040</c:v>
                </c:pt>
                <c:pt idx="85">
                  <c:v>40047</c:v>
                </c:pt>
                <c:pt idx="86">
                  <c:v>40054</c:v>
                </c:pt>
                <c:pt idx="87">
                  <c:v>40061</c:v>
                </c:pt>
                <c:pt idx="88">
                  <c:v>40068</c:v>
                </c:pt>
                <c:pt idx="89">
                  <c:v>40075</c:v>
                </c:pt>
                <c:pt idx="90">
                  <c:v>40082</c:v>
                </c:pt>
                <c:pt idx="91">
                  <c:v>40089</c:v>
                </c:pt>
                <c:pt idx="92">
                  <c:v>40096</c:v>
                </c:pt>
                <c:pt idx="93">
                  <c:v>40103</c:v>
                </c:pt>
                <c:pt idx="94">
                  <c:v>40110</c:v>
                </c:pt>
                <c:pt idx="95">
                  <c:v>40117</c:v>
                </c:pt>
                <c:pt idx="96">
                  <c:v>40124</c:v>
                </c:pt>
                <c:pt idx="97">
                  <c:v>40131</c:v>
                </c:pt>
                <c:pt idx="98">
                  <c:v>40138</c:v>
                </c:pt>
                <c:pt idx="99">
                  <c:v>40145</c:v>
                </c:pt>
                <c:pt idx="100">
                  <c:v>40152</c:v>
                </c:pt>
                <c:pt idx="101">
                  <c:v>40159</c:v>
                </c:pt>
                <c:pt idx="102">
                  <c:v>40166</c:v>
                </c:pt>
                <c:pt idx="103">
                  <c:v>40173</c:v>
                </c:pt>
                <c:pt idx="104">
                  <c:v>40180</c:v>
                </c:pt>
                <c:pt idx="105">
                  <c:v>40187</c:v>
                </c:pt>
                <c:pt idx="106">
                  <c:v>40194</c:v>
                </c:pt>
                <c:pt idx="107">
                  <c:v>40201</c:v>
                </c:pt>
                <c:pt idx="108">
                  <c:v>40208</c:v>
                </c:pt>
                <c:pt idx="109">
                  <c:v>40215</c:v>
                </c:pt>
                <c:pt idx="110">
                  <c:v>40222</c:v>
                </c:pt>
                <c:pt idx="111">
                  <c:v>40229</c:v>
                </c:pt>
                <c:pt idx="112">
                  <c:v>40236</c:v>
                </c:pt>
                <c:pt idx="113">
                  <c:v>40243</c:v>
                </c:pt>
                <c:pt idx="114">
                  <c:v>40250</c:v>
                </c:pt>
                <c:pt idx="115">
                  <c:v>40257</c:v>
                </c:pt>
                <c:pt idx="116">
                  <c:v>40264</c:v>
                </c:pt>
                <c:pt idx="117">
                  <c:v>40271</c:v>
                </c:pt>
                <c:pt idx="118">
                  <c:v>40278</c:v>
                </c:pt>
                <c:pt idx="119">
                  <c:v>40285</c:v>
                </c:pt>
                <c:pt idx="120">
                  <c:v>40292</c:v>
                </c:pt>
                <c:pt idx="121">
                  <c:v>40299</c:v>
                </c:pt>
                <c:pt idx="122">
                  <c:v>40306</c:v>
                </c:pt>
                <c:pt idx="123">
                  <c:v>40313</c:v>
                </c:pt>
                <c:pt idx="124">
                  <c:v>40320</c:v>
                </c:pt>
                <c:pt idx="125">
                  <c:v>40327</c:v>
                </c:pt>
                <c:pt idx="126">
                  <c:v>40334</c:v>
                </c:pt>
                <c:pt idx="127">
                  <c:v>40341</c:v>
                </c:pt>
                <c:pt idx="128">
                  <c:v>40348</c:v>
                </c:pt>
                <c:pt idx="129">
                  <c:v>40355</c:v>
                </c:pt>
                <c:pt idx="130">
                  <c:v>40362</c:v>
                </c:pt>
                <c:pt idx="131">
                  <c:v>40369</c:v>
                </c:pt>
                <c:pt idx="132">
                  <c:v>40376</c:v>
                </c:pt>
                <c:pt idx="133">
                  <c:v>40383</c:v>
                </c:pt>
                <c:pt idx="134">
                  <c:v>40390</c:v>
                </c:pt>
                <c:pt idx="135">
                  <c:v>40397</c:v>
                </c:pt>
                <c:pt idx="136">
                  <c:v>40404</c:v>
                </c:pt>
                <c:pt idx="137">
                  <c:v>40411</c:v>
                </c:pt>
                <c:pt idx="138">
                  <c:v>40418</c:v>
                </c:pt>
                <c:pt idx="139">
                  <c:v>40425</c:v>
                </c:pt>
                <c:pt idx="140">
                  <c:v>40432</c:v>
                </c:pt>
                <c:pt idx="141">
                  <c:v>40439</c:v>
                </c:pt>
                <c:pt idx="142">
                  <c:v>40446</c:v>
                </c:pt>
                <c:pt idx="143">
                  <c:v>40453</c:v>
                </c:pt>
                <c:pt idx="144">
                  <c:v>40460</c:v>
                </c:pt>
                <c:pt idx="145">
                  <c:v>40467</c:v>
                </c:pt>
                <c:pt idx="146">
                  <c:v>40474</c:v>
                </c:pt>
                <c:pt idx="147">
                  <c:v>40481</c:v>
                </c:pt>
                <c:pt idx="148">
                  <c:v>40488</c:v>
                </c:pt>
                <c:pt idx="149">
                  <c:v>40495</c:v>
                </c:pt>
                <c:pt idx="150">
                  <c:v>40502</c:v>
                </c:pt>
                <c:pt idx="151">
                  <c:v>40509</c:v>
                </c:pt>
                <c:pt idx="152">
                  <c:v>40516</c:v>
                </c:pt>
                <c:pt idx="153">
                  <c:v>40523</c:v>
                </c:pt>
                <c:pt idx="154">
                  <c:v>40530</c:v>
                </c:pt>
                <c:pt idx="155">
                  <c:v>40537</c:v>
                </c:pt>
                <c:pt idx="156">
                  <c:v>40544</c:v>
                </c:pt>
                <c:pt idx="157">
                  <c:v>40551</c:v>
                </c:pt>
                <c:pt idx="158">
                  <c:v>40558</c:v>
                </c:pt>
                <c:pt idx="159">
                  <c:v>40565</c:v>
                </c:pt>
                <c:pt idx="160">
                  <c:v>40572</c:v>
                </c:pt>
                <c:pt idx="161">
                  <c:v>40579</c:v>
                </c:pt>
                <c:pt idx="162">
                  <c:v>40586</c:v>
                </c:pt>
                <c:pt idx="163">
                  <c:v>40593</c:v>
                </c:pt>
                <c:pt idx="164">
                  <c:v>40600</c:v>
                </c:pt>
                <c:pt idx="165">
                  <c:v>40607</c:v>
                </c:pt>
                <c:pt idx="166">
                  <c:v>40614</c:v>
                </c:pt>
                <c:pt idx="167">
                  <c:v>40621</c:v>
                </c:pt>
                <c:pt idx="168">
                  <c:v>40628</c:v>
                </c:pt>
                <c:pt idx="169">
                  <c:v>40635</c:v>
                </c:pt>
                <c:pt idx="170">
                  <c:v>40642</c:v>
                </c:pt>
                <c:pt idx="171">
                  <c:v>40649</c:v>
                </c:pt>
                <c:pt idx="172">
                  <c:v>40656</c:v>
                </c:pt>
                <c:pt idx="173">
                  <c:v>40663</c:v>
                </c:pt>
                <c:pt idx="174">
                  <c:v>40670</c:v>
                </c:pt>
                <c:pt idx="175">
                  <c:v>40677</c:v>
                </c:pt>
                <c:pt idx="176">
                  <c:v>40684</c:v>
                </c:pt>
                <c:pt idx="177">
                  <c:v>40691</c:v>
                </c:pt>
                <c:pt idx="178">
                  <c:v>40698</c:v>
                </c:pt>
                <c:pt idx="179">
                  <c:v>40705</c:v>
                </c:pt>
                <c:pt idx="180">
                  <c:v>40712</c:v>
                </c:pt>
                <c:pt idx="181">
                  <c:v>40719</c:v>
                </c:pt>
                <c:pt idx="182">
                  <c:v>40726</c:v>
                </c:pt>
                <c:pt idx="183">
                  <c:v>40733</c:v>
                </c:pt>
                <c:pt idx="184">
                  <c:v>40740</c:v>
                </c:pt>
                <c:pt idx="185">
                  <c:v>40747</c:v>
                </c:pt>
                <c:pt idx="186">
                  <c:v>40754</c:v>
                </c:pt>
                <c:pt idx="187">
                  <c:v>40761</c:v>
                </c:pt>
                <c:pt idx="188">
                  <c:v>40768</c:v>
                </c:pt>
                <c:pt idx="189">
                  <c:v>40775</c:v>
                </c:pt>
                <c:pt idx="190">
                  <c:v>40782</c:v>
                </c:pt>
                <c:pt idx="191">
                  <c:v>40789</c:v>
                </c:pt>
                <c:pt idx="192">
                  <c:v>40796</c:v>
                </c:pt>
                <c:pt idx="193">
                  <c:v>40803</c:v>
                </c:pt>
                <c:pt idx="194">
                  <c:v>40810</c:v>
                </c:pt>
                <c:pt idx="195">
                  <c:v>40817</c:v>
                </c:pt>
                <c:pt idx="196">
                  <c:v>40824</c:v>
                </c:pt>
                <c:pt idx="197">
                  <c:v>40831</c:v>
                </c:pt>
                <c:pt idx="198">
                  <c:v>40838</c:v>
                </c:pt>
                <c:pt idx="199">
                  <c:v>40845</c:v>
                </c:pt>
                <c:pt idx="200">
                  <c:v>40852</c:v>
                </c:pt>
                <c:pt idx="201">
                  <c:v>40859</c:v>
                </c:pt>
                <c:pt idx="202">
                  <c:v>40866</c:v>
                </c:pt>
                <c:pt idx="203">
                  <c:v>40873</c:v>
                </c:pt>
                <c:pt idx="204">
                  <c:v>40880</c:v>
                </c:pt>
                <c:pt idx="205">
                  <c:v>40887</c:v>
                </c:pt>
                <c:pt idx="206">
                  <c:v>40894</c:v>
                </c:pt>
                <c:pt idx="207">
                  <c:v>40901</c:v>
                </c:pt>
                <c:pt idx="208">
                  <c:v>40908</c:v>
                </c:pt>
                <c:pt idx="209">
                  <c:v>40915</c:v>
                </c:pt>
                <c:pt idx="210">
                  <c:v>40922</c:v>
                </c:pt>
                <c:pt idx="211">
                  <c:v>40929</c:v>
                </c:pt>
                <c:pt idx="212">
                  <c:v>40936</c:v>
                </c:pt>
                <c:pt idx="213">
                  <c:v>40943</c:v>
                </c:pt>
                <c:pt idx="214">
                  <c:v>40950</c:v>
                </c:pt>
                <c:pt idx="215">
                  <c:v>40957</c:v>
                </c:pt>
                <c:pt idx="216">
                  <c:v>40964</c:v>
                </c:pt>
                <c:pt idx="217">
                  <c:v>40971</c:v>
                </c:pt>
                <c:pt idx="218">
                  <c:v>40978</c:v>
                </c:pt>
                <c:pt idx="219">
                  <c:v>40985</c:v>
                </c:pt>
                <c:pt idx="220">
                  <c:v>40992</c:v>
                </c:pt>
                <c:pt idx="221">
                  <c:v>40999</c:v>
                </c:pt>
                <c:pt idx="222">
                  <c:v>41006</c:v>
                </c:pt>
                <c:pt idx="223">
                  <c:v>41013</c:v>
                </c:pt>
                <c:pt idx="224">
                  <c:v>41020</c:v>
                </c:pt>
                <c:pt idx="225">
                  <c:v>41027</c:v>
                </c:pt>
                <c:pt idx="226">
                  <c:v>41034</c:v>
                </c:pt>
                <c:pt idx="227">
                  <c:v>41041</c:v>
                </c:pt>
                <c:pt idx="228">
                  <c:v>41048</c:v>
                </c:pt>
                <c:pt idx="229">
                  <c:v>41055</c:v>
                </c:pt>
                <c:pt idx="230">
                  <c:v>41062</c:v>
                </c:pt>
                <c:pt idx="231">
                  <c:v>41069</c:v>
                </c:pt>
                <c:pt idx="232">
                  <c:v>41076</c:v>
                </c:pt>
                <c:pt idx="233">
                  <c:v>41083</c:v>
                </c:pt>
                <c:pt idx="234">
                  <c:v>41090</c:v>
                </c:pt>
                <c:pt idx="235">
                  <c:v>41097</c:v>
                </c:pt>
                <c:pt idx="236">
                  <c:v>41104</c:v>
                </c:pt>
                <c:pt idx="237">
                  <c:v>41111</c:v>
                </c:pt>
                <c:pt idx="238">
                  <c:v>41118</c:v>
                </c:pt>
                <c:pt idx="239">
                  <c:v>41125</c:v>
                </c:pt>
                <c:pt idx="240">
                  <c:v>41132</c:v>
                </c:pt>
                <c:pt idx="241">
                  <c:v>41139</c:v>
                </c:pt>
                <c:pt idx="242">
                  <c:v>41146</c:v>
                </c:pt>
                <c:pt idx="243">
                  <c:v>41153</c:v>
                </c:pt>
                <c:pt idx="244">
                  <c:v>41160</c:v>
                </c:pt>
                <c:pt idx="245">
                  <c:v>41167</c:v>
                </c:pt>
                <c:pt idx="246">
                  <c:v>41174</c:v>
                </c:pt>
                <c:pt idx="247">
                  <c:v>41181</c:v>
                </c:pt>
                <c:pt idx="248">
                  <c:v>41188</c:v>
                </c:pt>
                <c:pt idx="249">
                  <c:v>41195</c:v>
                </c:pt>
                <c:pt idx="250">
                  <c:v>41202</c:v>
                </c:pt>
                <c:pt idx="251">
                  <c:v>41209</c:v>
                </c:pt>
                <c:pt idx="252">
                  <c:v>41216</c:v>
                </c:pt>
                <c:pt idx="253">
                  <c:v>41223</c:v>
                </c:pt>
                <c:pt idx="254">
                  <c:v>41230</c:v>
                </c:pt>
                <c:pt idx="255">
                  <c:v>41237</c:v>
                </c:pt>
                <c:pt idx="256">
                  <c:v>41244</c:v>
                </c:pt>
                <c:pt idx="257">
                  <c:v>41251</c:v>
                </c:pt>
                <c:pt idx="258">
                  <c:v>41258</c:v>
                </c:pt>
                <c:pt idx="259">
                  <c:v>41265</c:v>
                </c:pt>
                <c:pt idx="260">
                  <c:v>41272</c:v>
                </c:pt>
                <c:pt idx="261">
                  <c:v>41279</c:v>
                </c:pt>
                <c:pt idx="262">
                  <c:v>41286</c:v>
                </c:pt>
                <c:pt idx="263">
                  <c:v>41293</c:v>
                </c:pt>
                <c:pt idx="264">
                  <c:v>41300</c:v>
                </c:pt>
                <c:pt idx="265">
                  <c:v>41307</c:v>
                </c:pt>
                <c:pt idx="266">
                  <c:v>41314</c:v>
                </c:pt>
                <c:pt idx="267">
                  <c:v>41321</c:v>
                </c:pt>
                <c:pt idx="268">
                  <c:v>41328</c:v>
                </c:pt>
                <c:pt idx="269">
                  <c:v>41335</c:v>
                </c:pt>
                <c:pt idx="270">
                  <c:v>41342</c:v>
                </c:pt>
                <c:pt idx="271">
                  <c:v>41349</c:v>
                </c:pt>
                <c:pt idx="272">
                  <c:v>41356</c:v>
                </c:pt>
                <c:pt idx="273">
                  <c:v>41363</c:v>
                </c:pt>
                <c:pt idx="274">
                  <c:v>41370</c:v>
                </c:pt>
                <c:pt idx="275">
                  <c:v>41377</c:v>
                </c:pt>
                <c:pt idx="276">
                  <c:v>41384</c:v>
                </c:pt>
                <c:pt idx="277">
                  <c:v>41391</c:v>
                </c:pt>
                <c:pt idx="278">
                  <c:v>41398</c:v>
                </c:pt>
                <c:pt idx="279">
                  <c:v>41405</c:v>
                </c:pt>
                <c:pt idx="280">
                  <c:v>41412</c:v>
                </c:pt>
                <c:pt idx="281">
                  <c:v>41419</c:v>
                </c:pt>
                <c:pt idx="282">
                  <c:v>41426</c:v>
                </c:pt>
                <c:pt idx="283">
                  <c:v>41433</c:v>
                </c:pt>
                <c:pt idx="284">
                  <c:v>41440</c:v>
                </c:pt>
                <c:pt idx="285">
                  <c:v>41447</c:v>
                </c:pt>
                <c:pt idx="286">
                  <c:v>41454</c:v>
                </c:pt>
                <c:pt idx="287">
                  <c:v>41461</c:v>
                </c:pt>
                <c:pt idx="288">
                  <c:v>41468</c:v>
                </c:pt>
                <c:pt idx="289">
                  <c:v>41475</c:v>
                </c:pt>
                <c:pt idx="290">
                  <c:v>41482</c:v>
                </c:pt>
                <c:pt idx="291">
                  <c:v>41489</c:v>
                </c:pt>
                <c:pt idx="292">
                  <c:v>41496</c:v>
                </c:pt>
                <c:pt idx="293">
                  <c:v>41503</c:v>
                </c:pt>
                <c:pt idx="294">
                  <c:v>41510</c:v>
                </c:pt>
                <c:pt idx="295">
                  <c:v>41517</c:v>
                </c:pt>
                <c:pt idx="296">
                  <c:v>41524</c:v>
                </c:pt>
                <c:pt idx="297">
                  <c:v>41531</c:v>
                </c:pt>
                <c:pt idx="298">
                  <c:v>41538</c:v>
                </c:pt>
                <c:pt idx="299">
                  <c:v>41545</c:v>
                </c:pt>
                <c:pt idx="300">
                  <c:v>41552</c:v>
                </c:pt>
                <c:pt idx="301">
                  <c:v>41559</c:v>
                </c:pt>
                <c:pt idx="302">
                  <c:v>41566</c:v>
                </c:pt>
                <c:pt idx="303">
                  <c:v>41573</c:v>
                </c:pt>
                <c:pt idx="304">
                  <c:v>41580</c:v>
                </c:pt>
                <c:pt idx="305">
                  <c:v>41587</c:v>
                </c:pt>
                <c:pt idx="306">
                  <c:v>41594</c:v>
                </c:pt>
                <c:pt idx="307">
                  <c:v>41601</c:v>
                </c:pt>
                <c:pt idx="308">
                  <c:v>41608</c:v>
                </c:pt>
                <c:pt idx="309">
                  <c:v>41615</c:v>
                </c:pt>
                <c:pt idx="310">
                  <c:v>41622</c:v>
                </c:pt>
                <c:pt idx="311">
                  <c:v>41629</c:v>
                </c:pt>
                <c:pt idx="312">
                  <c:v>41636</c:v>
                </c:pt>
                <c:pt idx="313">
                  <c:v>41643</c:v>
                </c:pt>
                <c:pt idx="314">
                  <c:v>41650</c:v>
                </c:pt>
                <c:pt idx="315">
                  <c:v>41657</c:v>
                </c:pt>
                <c:pt idx="316">
                  <c:v>41664</c:v>
                </c:pt>
                <c:pt idx="317">
                  <c:v>41671</c:v>
                </c:pt>
                <c:pt idx="318">
                  <c:v>41678</c:v>
                </c:pt>
                <c:pt idx="319">
                  <c:v>41685</c:v>
                </c:pt>
                <c:pt idx="320">
                  <c:v>41692</c:v>
                </c:pt>
                <c:pt idx="321">
                  <c:v>41699</c:v>
                </c:pt>
                <c:pt idx="322">
                  <c:v>41706</c:v>
                </c:pt>
                <c:pt idx="323">
                  <c:v>41713</c:v>
                </c:pt>
                <c:pt idx="324">
                  <c:v>41720</c:v>
                </c:pt>
                <c:pt idx="325">
                  <c:v>41727</c:v>
                </c:pt>
                <c:pt idx="326">
                  <c:v>41734</c:v>
                </c:pt>
                <c:pt idx="327">
                  <c:v>41741</c:v>
                </c:pt>
              </c:numCache>
            </c:numRef>
          </c:cat>
          <c:val>
            <c:numRef>
              <c:f>Data!$E$123:$E$450</c:f>
              <c:numCache>
                <c:formatCode>0</c:formatCode>
                <c:ptCount val="328"/>
                <c:pt idx="0">
                  <c:v>372</c:v>
                </c:pt>
                <c:pt idx="1">
                  <c:v>358</c:v>
                </c:pt>
                <c:pt idx="2">
                  <c:v>320</c:v>
                </c:pt>
                <c:pt idx="3">
                  <c:v>351</c:v>
                </c:pt>
                <c:pt idx="4">
                  <c:v>341</c:v>
                </c:pt>
                <c:pt idx="5">
                  <c:v>396</c:v>
                </c:pt>
                <c:pt idx="6">
                  <c:v>244</c:v>
                </c:pt>
                <c:pt idx="7">
                  <c:v>345</c:v>
                </c:pt>
                <c:pt idx="8">
                  <c:v>287</c:v>
                </c:pt>
                <c:pt idx="9">
                  <c:v>354</c:v>
                </c:pt>
                <c:pt idx="10">
                  <c:v>349</c:v>
                </c:pt>
                <c:pt idx="11">
                  <c:v>302</c:v>
                </c:pt>
                <c:pt idx="12">
                  <c:v>332</c:v>
                </c:pt>
                <c:pt idx="13">
                  <c:v>470</c:v>
                </c:pt>
                <c:pt idx="14">
                  <c:v>364</c:v>
                </c:pt>
                <c:pt idx="15">
                  <c:v>358</c:v>
                </c:pt>
                <c:pt idx="16">
                  <c:v>369</c:v>
                </c:pt>
                <c:pt idx="17">
                  <c:v>206</c:v>
                </c:pt>
                <c:pt idx="18">
                  <c:v>147</c:v>
                </c:pt>
                <c:pt idx="19">
                  <c:v>370</c:v>
                </c:pt>
                <c:pt idx="20">
                  <c:v>422</c:v>
                </c:pt>
                <c:pt idx="21">
                  <c:v>369</c:v>
                </c:pt>
                <c:pt idx="22">
                  <c:v>411</c:v>
                </c:pt>
                <c:pt idx="23">
                  <c:v>322</c:v>
                </c:pt>
                <c:pt idx="24">
                  <c:v>210</c:v>
                </c:pt>
                <c:pt idx="25">
                  <c:v>119</c:v>
                </c:pt>
                <c:pt idx="26">
                  <c:v>188</c:v>
                </c:pt>
                <c:pt idx="27">
                  <c:v>463</c:v>
                </c:pt>
                <c:pt idx="28">
                  <c:v>438</c:v>
                </c:pt>
                <c:pt idx="29">
                  <c:v>539</c:v>
                </c:pt>
                <c:pt idx="30">
                  <c:v>471</c:v>
                </c:pt>
                <c:pt idx="31">
                  <c:v>417</c:v>
                </c:pt>
                <c:pt idx="32">
                  <c:v>357</c:v>
                </c:pt>
                <c:pt idx="33">
                  <c:v>414</c:v>
                </c:pt>
                <c:pt idx="34">
                  <c:v>284</c:v>
                </c:pt>
                <c:pt idx="35">
                  <c:v>393</c:v>
                </c:pt>
                <c:pt idx="36">
                  <c:v>335</c:v>
                </c:pt>
                <c:pt idx="37">
                  <c:v>276</c:v>
                </c:pt>
                <c:pt idx="38">
                  <c:v>201</c:v>
                </c:pt>
                <c:pt idx="39">
                  <c:v>328</c:v>
                </c:pt>
                <c:pt idx="40">
                  <c:v>239</c:v>
                </c:pt>
                <c:pt idx="41">
                  <c:v>311</c:v>
                </c:pt>
                <c:pt idx="42">
                  <c:v>369</c:v>
                </c:pt>
                <c:pt idx="43">
                  <c:v>327</c:v>
                </c:pt>
                <c:pt idx="44">
                  <c:v>468</c:v>
                </c:pt>
                <c:pt idx="45">
                  <c:v>371</c:v>
                </c:pt>
                <c:pt idx="46">
                  <c:v>410</c:v>
                </c:pt>
                <c:pt idx="47">
                  <c:v>468</c:v>
                </c:pt>
                <c:pt idx="48">
                  <c:v>475</c:v>
                </c:pt>
                <c:pt idx="49">
                  <c:v>403</c:v>
                </c:pt>
                <c:pt idx="50">
                  <c:v>375</c:v>
                </c:pt>
                <c:pt idx="51">
                  <c:v>236</c:v>
                </c:pt>
                <c:pt idx="52">
                  <c:v>307</c:v>
                </c:pt>
                <c:pt idx="53">
                  <c:v>200</c:v>
                </c:pt>
                <c:pt idx="54">
                  <c:v>409</c:v>
                </c:pt>
                <c:pt idx="55">
                  <c:v>446</c:v>
                </c:pt>
                <c:pt idx="56">
                  <c:v>155</c:v>
                </c:pt>
                <c:pt idx="57">
                  <c:v>278</c:v>
                </c:pt>
                <c:pt idx="58">
                  <c:v>332</c:v>
                </c:pt>
                <c:pt idx="59">
                  <c:v>347</c:v>
                </c:pt>
                <c:pt idx="60">
                  <c:v>609</c:v>
                </c:pt>
                <c:pt idx="61">
                  <c:v>484</c:v>
                </c:pt>
                <c:pt idx="62">
                  <c:v>479</c:v>
                </c:pt>
                <c:pt idx="63">
                  <c:v>385</c:v>
                </c:pt>
                <c:pt idx="64">
                  <c:v>386</c:v>
                </c:pt>
                <c:pt idx="65">
                  <c:v>459</c:v>
                </c:pt>
                <c:pt idx="66">
                  <c:v>425</c:v>
                </c:pt>
                <c:pt idx="67">
                  <c:v>516</c:v>
                </c:pt>
                <c:pt idx="68">
                  <c:v>495</c:v>
                </c:pt>
                <c:pt idx="69">
                  <c:v>378</c:v>
                </c:pt>
                <c:pt idx="70">
                  <c:v>392</c:v>
                </c:pt>
                <c:pt idx="71">
                  <c:v>494</c:v>
                </c:pt>
                <c:pt idx="72">
                  <c:v>458</c:v>
                </c:pt>
                <c:pt idx="73">
                  <c:v>471</c:v>
                </c:pt>
                <c:pt idx="74">
                  <c:v>510</c:v>
                </c:pt>
                <c:pt idx="75">
                  <c:v>541</c:v>
                </c:pt>
                <c:pt idx="76">
                  <c:v>690</c:v>
                </c:pt>
                <c:pt idx="77">
                  <c:v>553</c:v>
                </c:pt>
                <c:pt idx="78">
                  <c:v>618</c:v>
                </c:pt>
                <c:pt idx="79">
                  <c:v>452</c:v>
                </c:pt>
                <c:pt idx="80">
                  <c:v>447</c:v>
                </c:pt>
                <c:pt idx="81">
                  <c:v>566</c:v>
                </c:pt>
                <c:pt idx="82">
                  <c:v>691</c:v>
                </c:pt>
                <c:pt idx="83">
                  <c:v>516</c:v>
                </c:pt>
                <c:pt idx="84">
                  <c:v>554</c:v>
                </c:pt>
                <c:pt idx="85">
                  <c:v>471</c:v>
                </c:pt>
                <c:pt idx="86">
                  <c:v>452</c:v>
                </c:pt>
                <c:pt idx="87">
                  <c:v>242</c:v>
                </c:pt>
                <c:pt idx="88">
                  <c:v>199</c:v>
                </c:pt>
                <c:pt idx="89">
                  <c:v>160</c:v>
                </c:pt>
                <c:pt idx="90">
                  <c:v>212</c:v>
                </c:pt>
                <c:pt idx="91">
                  <c:v>229</c:v>
                </c:pt>
                <c:pt idx="92">
                  <c:v>322</c:v>
                </c:pt>
                <c:pt idx="93">
                  <c:v>290</c:v>
                </c:pt>
                <c:pt idx="94">
                  <c:v>378</c:v>
                </c:pt>
                <c:pt idx="95">
                  <c:v>493</c:v>
                </c:pt>
                <c:pt idx="96">
                  <c:v>445</c:v>
                </c:pt>
                <c:pt idx="97">
                  <c:v>758</c:v>
                </c:pt>
                <c:pt idx="98">
                  <c:v>630</c:v>
                </c:pt>
                <c:pt idx="99">
                  <c:v>618</c:v>
                </c:pt>
                <c:pt idx="100">
                  <c:v>647</c:v>
                </c:pt>
                <c:pt idx="101">
                  <c:v>622</c:v>
                </c:pt>
                <c:pt idx="102">
                  <c:v>541</c:v>
                </c:pt>
                <c:pt idx="103">
                  <c:v>375</c:v>
                </c:pt>
                <c:pt idx="104">
                  <c:v>207</c:v>
                </c:pt>
                <c:pt idx="105">
                  <c:v>185</c:v>
                </c:pt>
                <c:pt idx="106">
                  <c:v>287</c:v>
                </c:pt>
                <c:pt idx="107">
                  <c:v>405</c:v>
                </c:pt>
                <c:pt idx="108">
                  <c:v>403</c:v>
                </c:pt>
                <c:pt idx="109">
                  <c:v>441</c:v>
                </c:pt>
                <c:pt idx="110">
                  <c:v>418</c:v>
                </c:pt>
                <c:pt idx="111">
                  <c:v>345</c:v>
                </c:pt>
                <c:pt idx="112">
                  <c:v>371</c:v>
                </c:pt>
                <c:pt idx="113">
                  <c:v>480</c:v>
                </c:pt>
                <c:pt idx="114">
                  <c:v>545</c:v>
                </c:pt>
                <c:pt idx="115">
                  <c:v>293</c:v>
                </c:pt>
                <c:pt idx="116">
                  <c:v>329</c:v>
                </c:pt>
                <c:pt idx="117">
                  <c:v>342</c:v>
                </c:pt>
                <c:pt idx="118">
                  <c:v>290</c:v>
                </c:pt>
                <c:pt idx="119">
                  <c:v>321</c:v>
                </c:pt>
                <c:pt idx="120">
                  <c:v>388</c:v>
                </c:pt>
                <c:pt idx="121">
                  <c:v>327</c:v>
                </c:pt>
                <c:pt idx="122">
                  <c:v>555</c:v>
                </c:pt>
                <c:pt idx="123">
                  <c:v>528</c:v>
                </c:pt>
                <c:pt idx="124">
                  <c:v>482</c:v>
                </c:pt>
                <c:pt idx="125">
                  <c:v>578</c:v>
                </c:pt>
                <c:pt idx="126">
                  <c:v>502</c:v>
                </c:pt>
                <c:pt idx="127">
                  <c:v>493</c:v>
                </c:pt>
                <c:pt idx="128">
                  <c:v>524</c:v>
                </c:pt>
                <c:pt idx="129">
                  <c:v>442</c:v>
                </c:pt>
                <c:pt idx="130">
                  <c:v>510</c:v>
                </c:pt>
                <c:pt idx="131">
                  <c:v>442</c:v>
                </c:pt>
                <c:pt idx="132">
                  <c:v>511</c:v>
                </c:pt>
                <c:pt idx="133">
                  <c:v>550</c:v>
                </c:pt>
                <c:pt idx="134">
                  <c:v>630</c:v>
                </c:pt>
                <c:pt idx="135">
                  <c:v>465</c:v>
                </c:pt>
                <c:pt idx="136">
                  <c:v>446</c:v>
                </c:pt>
                <c:pt idx="137">
                  <c:v>264</c:v>
                </c:pt>
                <c:pt idx="138">
                  <c:v>250</c:v>
                </c:pt>
                <c:pt idx="139">
                  <c:v>320</c:v>
                </c:pt>
                <c:pt idx="140">
                  <c:v>314</c:v>
                </c:pt>
                <c:pt idx="141">
                  <c:v>294</c:v>
                </c:pt>
                <c:pt idx="142">
                  <c:v>368</c:v>
                </c:pt>
                <c:pt idx="143">
                  <c:v>321</c:v>
                </c:pt>
                <c:pt idx="144">
                  <c:v>382</c:v>
                </c:pt>
                <c:pt idx="145">
                  <c:v>645</c:v>
                </c:pt>
                <c:pt idx="146">
                  <c:v>493</c:v>
                </c:pt>
                <c:pt idx="147">
                  <c:v>453</c:v>
                </c:pt>
                <c:pt idx="148">
                  <c:v>346</c:v>
                </c:pt>
                <c:pt idx="149">
                  <c:v>582</c:v>
                </c:pt>
                <c:pt idx="150">
                  <c:v>415</c:v>
                </c:pt>
                <c:pt idx="151">
                  <c:v>520</c:v>
                </c:pt>
                <c:pt idx="152">
                  <c:v>706</c:v>
                </c:pt>
                <c:pt idx="153">
                  <c:v>465</c:v>
                </c:pt>
                <c:pt idx="154">
                  <c:v>441</c:v>
                </c:pt>
                <c:pt idx="155">
                  <c:v>548</c:v>
                </c:pt>
                <c:pt idx="156">
                  <c:v>371</c:v>
                </c:pt>
                <c:pt idx="157">
                  <c:v>363</c:v>
                </c:pt>
                <c:pt idx="158">
                  <c:v>337</c:v>
                </c:pt>
                <c:pt idx="159">
                  <c:v>360</c:v>
                </c:pt>
                <c:pt idx="160">
                  <c:v>367</c:v>
                </c:pt>
                <c:pt idx="161">
                  <c:v>288</c:v>
                </c:pt>
                <c:pt idx="162">
                  <c:v>296</c:v>
                </c:pt>
                <c:pt idx="163">
                  <c:v>434</c:v>
                </c:pt>
                <c:pt idx="164">
                  <c:v>360</c:v>
                </c:pt>
                <c:pt idx="165">
                  <c:v>261</c:v>
                </c:pt>
                <c:pt idx="166">
                  <c:v>368</c:v>
                </c:pt>
                <c:pt idx="167">
                  <c:v>392</c:v>
                </c:pt>
                <c:pt idx="168">
                  <c:v>416</c:v>
                </c:pt>
                <c:pt idx="169">
                  <c:v>437</c:v>
                </c:pt>
                <c:pt idx="170">
                  <c:v>294</c:v>
                </c:pt>
                <c:pt idx="171">
                  <c:v>358</c:v>
                </c:pt>
                <c:pt idx="172">
                  <c:v>301</c:v>
                </c:pt>
                <c:pt idx="173">
                  <c:v>162</c:v>
                </c:pt>
                <c:pt idx="174">
                  <c:v>184</c:v>
                </c:pt>
                <c:pt idx="175">
                  <c:v>324</c:v>
                </c:pt>
                <c:pt idx="176">
                  <c:v>474</c:v>
                </c:pt>
                <c:pt idx="177">
                  <c:v>445</c:v>
                </c:pt>
                <c:pt idx="178">
                  <c:v>346</c:v>
                </c:pt>
                <c:pt idx="179">
                  <c:v>369</c:v>
                </c:pt>
                <c:pt idx="180">
                  <c:v>232</c:v>
                </c:pt>
                <c:pt idx="181">
                  <c:v>324</c:v>
                </c:pt>
                <c:pt idx="182">
                  <c:v>446</c:v>
                </c:pt>
                <c:pt idx="183">
                  <c:v>426</c:v>
                </c:pt>
                <c:pt idx="184">
                  <c:v>463</c:v>
                </c:pt>
                <c:pt idx="185">
                  <c:v>441</c:v>
                </c:pt>
                <c:pt idx="186">
                  <c:v>506</c:v>
                </c:pt>
                <c:pt idx="187">
                  <c:v>399</c:v>
                </c:pt>
                <c:pt idx="188">
                  <c:v>352</c:v>
                </c:pt>
                <c:pt idx="189">
                  <c:v>388</c:v>
                </c:pt>
                <c:pt idx="190">
                  <c:v>290</c:v>
                </c:pt>
                <c:pt idx="191">
                  <c:v>229</c:v>
                </c:pt>
                <c:pt idx="192">
                  <c:v>217</c:v>
                </c:pt>
                <c:pt idx="193">
                  <c:v>202</c:v>
                </c:pt>
                <c:pt idx="194">
                  <c:v>186</c:v>
                </c:pt>
                <c:pt idx="195">
                  <c:v>216</c:v>
                </c:pt>
                <c:pt idx="196">
                  <c:v>261</c:v>
                </c:pt>
                <c:pt idx="197">
                  <c:v>385</c:v>
                </c:pt>
                <c:pt idx="198">
                  <c:v>434</c:v>
                </c:pt>
                <c:pt idx="199">
                  <c:v>435</c:v>
                </c:pt>
                <c:pt idx="200">
                  <c:v>456</c:v>
                </c:pt>
                <c:pt idx="201">
                  <c:v>441</c:v>
                </c:pt>
                <c:pt idx="202">
                  <c:v>567</c:v>
                </c:pt>
                <c:pt idx="203">
                  <c:v>692</c:v>
                </c:pt>
                <c:pt idx="204">
                  <c:v>605</c:v>
                </c:pt>
                <c:pt idx="205">
                  <c:v>618</c:v>
                </c:pt>
                <c:pt idx="206">
                  <c:v>560</c:v>
                </c:pt>
                <c:pt idx="207">
                  <c:v>463</c:v>
                </c:pt>
                <c:pt idx="208">
                  <c:v>296</c:v>
                </c:pt>
                <c:pt idx="209">
                  <c:v>314</c:v>
                </c:pt>
                <c:pt idx="210">
                  <c:v>372</c:v>
                </c:pt>
                <c:pt idx="211">
                  <c:v>431</c:v>
                </c:pt>
                <c:pt idx="212">
                  <c:v>391</c:v>
                </c:pt>
                <c:pt idx="213">
                  <c:v>453</c:v>
                </c:pt>
                <c:pt idx="214">
                  <c:v>509</c:v>
                </c:pt>
                <c:pt idx="215">
                  <c:v>426</c:v>
                </c:pt>
                <c:pt idx="216">
                  <c:v>321</c:v>
                </c:pt>
                <c:pt idx="217">
                  <c:v>329</c:v>
                </c:pt>
                <c:pt idx="218">
                  <c:v>364</c:v>
                </c:pt>
                <c:pt idx="219">
                  <c:v>232</c:v>
                </c:pt>
                <c:pt idx="220">
                  <c:v>495</c:v>
                </c:pt>
                <c:pt idx="221">
                  <c:v>493</c:v>
                </c:pt>
                <c:pt idx="222">
                  <c:v>408</c:v>
                </c:pt>
                <c:pt idx="223">
                  <c:v>297</c:v>
                </c:pt>
                <c:pt idx="224">
                  <c:v>436</c:v>
                </c:pt>
                <c:pt idx="225">
                  <c:v>399</c:v>
                </c:pt>
                <c:pt idx="226">
                  <c:v>244</c:v>
                </c:pt>
                <c:pt idx="227">
                  <c:v>438</c:v>
                </c:pt>
                <c:pt idx="228">
                  <c:v>429</c:v>
                </c:pt>
                <c:pt idx="229">
                  <c:v>377</c:v>
                </c:pt>
                <c:pt idx="230">
                  <c:v>403</c:v>
                </c:pt>
                <c:pt idx="231">
                  <c:v>382</c:v>
                </c:pt>
                <c:pt idx="232">
                  <c:v>359</c:v>
                </c:pt>
                <c:pt idx="233">
                  <c:v>388</c:v>
                </c:pt>
                <c:pt idx="234">
                  <c:v>339</c:v>
                </c:pt>
                <c:pt idx="235">
                  <c:v>368</c:v>
                </c:pt>
                <c:pt idx="236">
                  <c:v>329</c:v>
                </c:pt>
                <c:pt idx="237">
                  <c:v>350</c:v>
                </c:pt>
                <c:pt idx="238">
                  <c:v>477</c:v>
                </c:pt>
                <c:pt idx="239">
                  <c:v>449</c:v>
                </c:pt>
                <c:pt idx="240">
                  <c:v>398</c:v>
                </c:pt>
                <c:pt idx="241">
                  <c:v>352</c:v>
                </c:pt>
                <c:pt idx="242">
                  <c:v>184</c:v>
                </c:pt>
                <c:pt idx="243">
                  <c:v>163</c:v>
                </c:pt>
                <c:pt idx="244">
                  <c:v>108</c:v>
                </c:pt>
                <c:pt idx="245">
                  <c:v>148</c:v>
                </c:pt>
                <c:pt idx="246">
                  <c:v>124</c:v>
                </c:pt>
                <c:pt idx="247">
                  <c:v>302</c:v>
                </c:pt>
                <c:pt idx="248">
                  <c:v>179</c:v>
                </c:pt>
                <c:pt idx="249">
                  <c:v>382</c:v>
                </c:pt>
                <c:pt idx="250">
                  <c:v>482</c:v>
                </c:pt>
                <c:pt idx="251">
                  <c:v>332</c:v>
                </c:pt>
                <c:pt idx="252">
                  <c:v>497</c:v>
                </c:pt>
                <c:pt idx="253">
                  <c:v>417</c:v>
                </c:pt>
                <c:pt idx="254">
                  <c:v>403</c:v>
                </c:pt>
                <c:pt idx="255">
                  <c:v>492</c:v>
                </c:pt>
                <c:pt idx="256">
                  <c:v>593</c:v>
                </c:pt>
                <c:pt idx="257">
                  <c:v>517</c:v>
                </c:pt>
                <c:pt idx="258">
                  <c:v>361</c:v>
                </c:pt>
                <c:pt idx="259">
                  <c:v>282</c:v>
                </c:pt>
                <c:pt idx="260">
                  <c:v>199</c:v>
                </c:pt>
                <c:pt idx="261">
                  <c:v>252</c:v>
                </c:pt>
                <c:pt idx="262">
                  <c:v>255</c:v>
                </c:pt>
                <c:pt idx="263">
                  <c:v>358</c:v>
                </c:pt>
                <c:pt idx="264">
                  <c:v>307</c:v>
                </c:pt>
                <c:pt idx="265">
                  <c:v>273</c:v>
                </c:pt>
                <c:pt idx="266">
                  <c:v>305</c:v>
                </c:pt>
                <c:pt idx="267">
                  <c:v>306</c:v>
                </c:pt>
                <c:pt idx="268">
                  <c:v>270</c:v>
                </c:pt>
                <c:pt idx="269">
                  <c:v>218</c:v>
                </c:pt>
                <c:pt idx="270">
                  <c:v>376</c:v>
                </c:pt>
                <c:pt idx="271">
                  <c:v>290</c:v>
                </c:pt>
                <c:pt idx="272">
                  <c:v>248</c:v>
                </c:pt>
                <c:pt idx="273">
                  <c:v>250</c:v>
                </c:pt>
                <c:pt idx="274">
                  <c:v>182</c:v>
                </c:pt>
                <c:pt idx="275">
                  <c:v>216</c:v>
                </c:pt>
                <c:pt idx="276">
                  <c:v>178</c:v>
                </c:pt>
                <c:pt idx="277">
                  <c:v>76</c:v>
                </c:pt>
                <c:pt idx="278">
                  <c:v>291</c:v>
                </c:pt>
                <c:pt idx="279">
                  <c:v>204</c:v>
                </c:pt>
                <c:pt idx="280">
                  <c:v>289</c:v>
                </c:pt>
                <c:pt idx="281">
                  <c:v>271</c:v>
                </c:pt>
                <c:pt idx="282">
                  <c:v>248</c:v>
                </c:pt>
                <c:pt idx="283">
                  <c:v>96</c:v>
                </c:pt>
                <c:pt idx="284">
                  <c:v>243</c:v>
                </c:pt>
                <c:pt idx="285">
                  <c:v>327</c:v>
                </c:pt>
                <c:pt idx="286">
                  <c:v>268</c:v>
                </c:pt>
                <c:pt idx="287">
                  <c:v>244</c:v>
                </c:pt>
                <c:pt idx="288">
                  <c:v>398</c:v>
                </c:pt>
                <c:pt idx="289">
                  <c:v>221</c:v>
                </c:pt>
                <c:pt idx="290">
                  <c:v>283</c:v>
                </c:pt>
                <c:pt idx="291">
                  <c:v>245</c:v>
                </c:pt>
                <c:pt idx="292">
                  <c:v>284</c:v>
                </c:pt>
                <c:pt idx="293">
                  <c:v>229</c:v>
                </c:pt>
                <c:pt idx="294">
                  <c:v>159</c:v>
                </c:pt>
                <c:pt idx="295">
                  <c:v>89</c:v>
                </c:pt>
                <c:pt idx="296">
                  <c:v>171</c:v>
                </c:pt>
                <c:pt idx="297">
                  <c:v>142</c:v>
                </c:pt>
                <c:pt idx="298">
                  <c:v>189</c:v>
                </c:pt>
                <c:pt idx="299">
                  <c:v>172</c:v>
                </c:pt>
                <c:pt idx="300">
                  <c:v>229</c:v>
                </c:pt>
                <c:pt idx="301">
                  <c:v>279</c:v>
                </c:pt>
                <c:pt idx="302">
                  <c:v>508</c:v>
                </c:pt>
                <c:pt idx="303">
                  <c:v>533</c:v>
                </c:pt>
                <c:pt idx="304">
                  <c:v>549</c:v>
                </c:pt>
                <c:pt idx="305">
                  <c:v>503</c:v>
                </c:pt>
                <c:pt idx="306">
                  <c:v>549</c:v>
                </c:pt>
                <c:pt idx="307">
                  <c:v>603</c:v>
                </c:pt>
                <c:pt idx="308">
                  <c:v>563</c:v>
                </c:pt>
                <c:pt idx="309">
                  <c:v>488</c:v>
                </c:pt>
                <c:pt idx="310">
                  <c:v>533</c:v>
                </c:pt>
                <c:pt idx="311">
                  <c:v>457</c:v>
                </c:pt>
                <c:pt idx="312">
                  <c:v>417</c:v>
                </c:pt>
                <c:pt idx="313">
                  <c:v>358</c:v>
                </c:pt>
                <c:pt idx="314">
                  <c:v>274</c:v>
                </c:pt>
                <c:pt idx="315">
                  <c:v>303</c:v>
                </c:pt>
                <c:pt idx="316">
                  <c:v>480</c:v>
                </c:pt>
                <c:pt idx="317">
                  <c:v>378</c:v>
                </c:pt>
                <c:pt idx="318">
                  <c:v>408</c:v>
                </c:pt>
                <c:pt idx="319">
                  <c:v>342</c:v>
                </c:pt>
                <c:pt idx="320">
                  <c:v>282</c:v>
                </c:pt>
                <c:pt idx="321">
                  <c:v>389</c:v>
                </c:pt>
                <c:pt idx="322">
                  <c:v>339</c:v>
                </c:pt>
                <c:pt idx="323">
                  <c:v>479</c:v>
                </c:pt>
                <c:pt idx="324">
                  <c:v>389</c:v>
                </c:pt>
                <c:pt idx="325">
                  <c:v>495</c:v>
                </c:pt>
                <c:pt idx="326">
                  <c:v>419</c:v>
                </c:pt>
                <c:pt idx="327">
                  <c:v>451</c:v>
                </c:pt>
              </c:numCache>
            </c:numRef>
          </c:val>
          <c:smooth val="0"/>
          <c:extLst>
            <c:ext xmlns:c16="http://schemas.microsoft.com/office/drawing/2014/chart" uri="{C3380CC4-5D6E-409C-BE32-E72D297353CC}">
              <c16:uniqueId val="{00000000-03C7-427B-9AAD-5D3F0B3C88A3}"/>
            </c:ext>
          </c:extLst>
        </c:ser>
        <c:ser>
          <c:idx val="1"/>
          <c:order val="1"/>
          <c:tx>
            <c:strRef>
              <c:f>Data!$F$6</c:f>
              <c:strCache>
                <c:ptCount val="1"/>
                <c:pt idx="0">
                  <c:v>Grain barges unloaded in New Orleans </c:v>
                </c:pt>
              </c:strCache>
            </c:strRef>
          </c:tx>
          <c:spPr>
            <a:ln w="25400">
              <a:solidFill>
                <a:srgbClr val="FF9900"/>
              </a:solidFill>
              <a:prstDash val="solid"/>
            </a:ln>
          </c:spPr>
          <c:marker>
            <c:symbol val="square"/>
            <c:size val="3"/>
            <c:spPr>
              <a:solidFill>
                <a:srgbClr val="FF9900"/>
              </a:solidFill>
              <a:ln>
                <a:solidFill>
                  <a:srgbClr val="FF9900"/>
                </a:solidFill>
                <a:prstDash val="solid"/>
              </a:ln>
            </c:spPr>
          </c:marker>
          <c:cat>
            <c:numRef>
              <c:f>Data!$A$123:$A$450</c:f>
              <c:numCache>
                <c:formatCode>mm/dd/yy;@</c:formatCode>
                <c:ptCount val="328"/>
                <c:pt idx="0">
                  <c:v>39452</c:v>
                </c:pt>
                <c:pt idx="1">
                  <c:v>39459</c:v>
                </c:pt>
                <c:pt idx="2">
                  <c:v>39466</c:v>
                </c:pt>
                <c:pt idx="3">
                  <c:v>39473</c:v>
                </c:pt>
                <c:pt idx="4">
                  <c:v>39480</c:v>
                </c:pt>
                <c:pt idx="5">
                  <c:v>39487</c:v>
                </c:pt>
                <c:pt idx="6">
                  <c:v>39494</c:v>
                </c:pt>
                <c:pt idx="7">
                  <c:v>39501</c:v>
                </c:pt>
                <c:pt idx="8">
                  <c:v>39508</c:v>
                </c:pt>
                <c:pt idx="9">
                  <c:v>39515</c:v>
                </c:pt>
                <c:pt idx="10">
                  <c:v>39522</c:v>
                </c:pt>
                <c:pt idx="11">
                  <c:v>39529</c:v>
                </c:pt>
                <c:pt idx="12">
                  <c:v>39536</c:v>
                </c:pt>
                <c:pt idx="13">
                  <c:v>39543</c:v>
                </c:pt>
                <c:pt idx="14">
                  <c:v>39550</c:v>
                </c:pt>
                <c:pt idx="15">
                  <c:v>39557</c:v>
                </c:pt>
                <c:pt idx="16">
                  <c:v>39564</c:v>
                </c:pt>
                <c:pt idx="17">
                  <c:v>39571</c:v>
                </c:pt>
                <c:pt idx="18">
                  <c:v>39578</c:v>
                </c:pt>
                <c:pt idx="19">
                  <c:v>39585</c:v>
                </c:pt>
                <c:pt idx="20">
                  <c:v>39592</c:v>
                </c:pt>
                <c:pt idx="21">
                  <c:v>39599</c:v>
                </c:pt>
                <c:pt idx="22">
                  <c:v>39606</c:v>
                </c:pt>
                <c:pt idx="23">
                  <c:v>39613</c:v>
                </c:pt>
                <c:pt idx="24">
                  <c:v>39620</c:v>
                </c:pt>
                <c:pt idx="25">
                  <c:v>39627</c:v>
                </c:pt>
                <c:pt idx="26">
                  <c:v>39634</c:v>
                </c:pt>
                <c:pt idx="27">
                  <c:v>39641</c:v>
                </c:pt>
                <c:pt idx="28">
                  <c:v>39648</c:v>
                </c:pt>
                <c:pt idx="29">
                  <c:v>39655</c:v>
                </c:pt>
                <c:pt idx="30">
                  <c:v>39662</c:v>
                </c:pt>
                <c:pt idx="31">
                  <c:v>39669</c:v>
                </c:pt>
                <c:pt idx="32">
                  <c:v>39676</c:v>
                </c:pt>
                <c:pt idx="33">
                  <c:v>39683</c:v>
                </c:pt>
                <c:pt idx="34">
                  <c:v>39690</c:v>
                </c:pt>
                <c:pt idx="35">
                  <c:v>39697</c:v>
                </c:pt>
                <c:pt idx="36">
                  <c:v>39704</c:v>
                </c:pt>
                <c:pt idx="37">
                  <c:v>39711</c:v>
                </c:pt>
                <c:pt idx="38">
                  <c:v>39718</c:v>
                </c:pt>
                <c:pt idx="39">
                  <c:v>39725</c:v>
                </c:pt>
                <c:pt idx="40">
                  <c:v>39732</c:v>
                </c:pt>
                <c:pt idx="41">
                  <c:v>39739</c:v>
                </c:pt>
                <c:pt idx="42">
                  <c:v>39746</c:v>
                </c:pt>
                <c:pt idx="43">
                  <c:v>39753</c:v>
                </c:pt>
                <c:pt idx="44">
                  <c:v>39760</c:v>
                </c:pt>
                <c:pt idx="45">
                  <c:v>39767</c:v>
                </c:pt>
                <c:pt idx="46">
                  <c:v>39774</c:v>
                </c:pt>
                <c:pt idx="47">
                  <c:v>39781</c:v>
                </c:pt>
                <c:pt idx="48">
                  <c:v>39788</c:v>
                </c:pt>
                <c:pt idx="49">
                  <c:v>39795</c:v>
                </c:pt>
                <c:pt idx="50">
                  <c:v>39802</c:v>
                </c:pt>
                <c:pt idx="51">
                  <c:v>39809</c:v>
                </c:pt>
                <c:pt idx="52">
                  <c:v>39816</c:v>
                </c:pt>
                <c:pt idx="53">
                  <c:v>39823</c:v>
                </c:pt>
                <c:pt idx="54">
                  <c:v>39830</c:v>
                </c:pt>
                <c:pt idx="55">
                  <c:v>39837</c:v>
                </c:pt>
                <c:pt idx="56">
                  <c:v>39844</c:v>
                </c:pt>
                <c:pt idx="57">
                  <c:v>39851</c:v>
                </c:pt>
                <c:pt idx="58">
                  <c:v>39858</c:v>
                </c:pt>
                <c:pt idx="59">
                  <c:v>39865</c:v>
                </c:pt>
                <c:pt idx="60">
                  <c:v>39872</c:v>
                </c:pt>
                <c:pt idx="61">
                  <c:v>39879</c:v>
                </c:pt>
                <c:pt idx="62">
                  <c:v>39886</c:v>
                </c:pt>
                <c:pt idx="63">
                  <c:v>39893</c:v>
                </c:pt>
                <c:pt idx="64">
                  <c:v>39900</c:v>
                </c:pt>
                <c:pt idx="65">
                  <c:v>39907</c:v>
                </c:pt>
                <c:pt idx="66">
                  <c:v>39914</c:v>
                </c:pt>
                <c:pt idx="67">
                  <c:v>39921</c:v>
                </c:pt>
                <c:pt idx="68">
                  <c:v>39928</c:v>
                </c:pt>
                <c:pt idx="69">
                  <c:v>39935</c:v>
                </c:pt>
                <c:pt idx="70">
                  <c:v>39942</c:v>
                </c:pt>
                <c:pt idx="71">
                  <c:v>39949</c:v>
                </c:pt>
                <c:pt idx="72">
                  <c:v>39956</c:v>
                </c:pt>
                <c:pt idx="73">
                  <c:v>39963</c:v>
                </c:pt>
                <c:pt idx="74">
                  <c:v>39970</c:v>
                </c:pt>
                <c:pt idx="75">
                  <c:v>39977</c:v>
                </c:pt>
                <c:pt idx="76">
                  <c:v>39984</c:v>
                </c:pt>
                <c:pt idx="77">
                  <c:v>39991</c:v>
                </c:pt>
                <c:pt idx="78">
                  <c:v>39998</c:v>
                </c:pt>
                <c:pt idx="79">
                  <c:v>40005</c:v>
                </c:pt>
                <c:pt idx="80">
                  <c:v>40012</c:v>
                </c:pt>
                <c:pt idx="81">
                  <c:v>40019</c:v>
                </c:pt>
                <c:pt idx="82">
                  <c:v>40026</c:v>
                </c:pt>
                <c:pt idx="83">
                  <c:v>40033</c:v>
                </c:pt>
                <c:pt idx="84">
                  <c:v>40040</c:v>
                </c:pt>
                <c:pt idx="85">
                  <c:v>40047</c:v>
                </c:pt>
                <c:pt idx="86">
                  <c:v>40054</c:v>
                </c:pt>
                <c:pt idx="87">
                  <c:v>40061</c:v>
                </c:pt>
                <c:pt idx="88">
                  <c:v>40068</c:v>
                </c:pt>
                <c:pt idx="89">
                  <c:v>40075</c:v>
                </c:pt>
                <c:pt idx="90">
                  <c:v>40082</c:v>
                </c:pt>
                <c:pt idx="91">
                  <c:v>40089</c:v>
                </c:pt>
                <c:pt idx="92">
                  <c:v>40096</c:v>
                </c:pt>
                <c:pt idx="93">
                  <c:v>40103</c:v>
                </c:pt>
                <c:pt idx="94">
                  <c:v>40110</c:v>
                </c:pt>
                <c:pt idx="95">
                  <c:v>40117</c:v>
                </c:pt>
                <c:pt idx="96">
                  <c:v>40124</c:v>
                </c:pt>
                <c:pt idx="97">
                  <c:v>40131</c:v>
                </c:pt>
                <c:pt idx="98">
                  <c:v>40138</c:v>
                </c:pt>
                <c:pt idx="99">
                  <c:v>40145</c:v>
                </c:pt>
                <c:pt idx="100">
                  <c:v>40152</c:v>
                </c:pt>
                <c:pt idx="101">
                  <c:v>40159</c:v>
                </c:pt>
                <c:pt idx="102">
                  <c:v>40166</c:v>
                </c:pt>
                <c:pt idx="103">
                  <c:v>40173</c:v>
                </c:pt>
                <c:pt idx="104">
                  <c:v>40180</c:v>
                </c:pt>
                <c:pt idx="105">
                  <c:v>40187</c:v>
                </c:pt>
                <c:pt idx="106">
                  <c:v>40194</c:v>
                </c:pt>
                <c:pt idx="107">
                  <c:v>40201</c:v>
                </c:pt>
                <c:pt idx="108">
                  <c:v>40208</c:v>
                </c:pt>
                <c:pt idx="109">
                  <c:v>40215</c:v>
                </c:pt>
                <c:pt idx="110">
                  <c:v>40222</c:v>
                </c:pt>
                <c:pt idx="111">
                  <c:v>40229</c:v>
                </c:pt>
                <c:pt idx="112">
                  <c:v>40236</c:v>
                </c:pt>
                <c:pt idx="113">
                  <c:v>40243</c:v>
                </c:pt>
                <c:pt idx="114">
                  <c:v>40250</c:v>
                </c:pt>
                <c:pt idx="115">
                  <c:v>40257</c:v>
                </c:pt>
                <c:pt idx="116">
                  <c:v>40264</c:v>
                </c:pt>
                <c:pt idx="117">
                  <c:v>40271</c:v>
                </c:pt>
                <c:pt idx="118">
                  <c:v>40278</c:v>
                </c:pt>
                <c:pt idx="119">
                  <c:v>40285</c:v>
                </c:pt>
                <c:pt idx="120">
                  <c:v>40292</c:v>
                </c:pt>
                <c:pt idx="121">
                  <c:v>40299</c:v>
                </c:pt>
                <c:pt idx="122">
                  <c:v>40306</c:v>
                </c:pt>
                <c:pt idx="123">
                  <c:v>40313</c:v>
                </c:pt>
                <c:pt idx="124">
                  <c:v>40320</c:v>
                </c:pt>
                <c:pt idx="125">
                  <c:v>40327</c:v>
                </c:pt>
                <c:pt idx="126">
                  <c:v>40334</c:v>
                </c:pt>
                <c:pt idx="127">
                  <c:v>40341</c:v>
                </c:pt>
                <c:pt idx="128">
                  <c:v>40348</c:v>
                </c:pt>
                <c:pt idx="129">
                  <c:v>40355</c:v>
                </c:pt>
                <c:pt idx="130">
                  <c:v>40362</c:v>
                </c:pt>
                <c:pt idx="131">
                  <c:v>40369</c:v>
                </c:pt>
                <c:pt idx="132">
                  <c:v>40376</c:v>
                </c:pt>
                <c:pt idx="133">
                  <c:v>40383</c:v>
                </c:pt>
                <c:pt idx="134">
                  <c:v>40390</c:v>
                </c:pt>
                <c:pt idx="135">
                  <c:v>40397</c:v>
                </c:pt>
                <c:pt idx="136">
                  <c:v>40404</c:v>
                </c:pt>
                <c:pt idx="137">
                  <c:v>40411</c:v>
                </c:pt>
                <c:pt idx="138">
                  <c:v>40418</c:v>
                </c:pt>
                <c:pt idx="139">
                  <c:v>40425</c:v>
                </c:pt>
                <c:pt idx="140">
                  <c:v>40432</c:v>
                </c:pt>
                <c:pt idx="141">
                  <c:v>40439</c:v>
                </c:pt>
                <c:pt idx="142">
                  <c:v>40446</c:v>
                </c:pt>
                <c:pt idx="143">
                  <c:v>40453</c:v>
                </c:pt>
                <c:pt idx="144">
                  <c:v>40460</c:v>
                </c:pt>
                <c:pt idx="145">
                  <c:v>40467</c:v>
                </c:pt>
                <c:pt idx="146">
                  <c:v>40474</c:v>
                </c:pt>
                <c:pt idx="147">
                  <c:v>40481</c:v>
                </c:pt>
                <c:pt idx="148">
                  <c:v>40488</c:v>
                </c:pt>
                <c:pt idx="149">
                  <c:v>40495</c:v>
                </c:pt>
                <c:pt idx="150">
                  <c:v>40502</c:v>
                </c:pt>
                <c:pt idx="151">
                  <c:v>40509</c:v>
                </c:pt>
                <c:pt idx="152">
                  <c:v>40516</c:v>
                </c:pt>
                <c:pt idx="153">
                  <c:v>40523</c:v>
                </c:pt>
                <c:pt idx="154">
                  <c:v>40530</c:v>
                </c:pt>
                <c:pt idx="155">
                  <c:v>40537</c:v>
                </c:pt>
                <c:pt idx="156">
                  <c:v>40544</c:v>
                </c:pt>
                <c:pt idx="157">
                  <c:v>40551</c:v>
                </c:pt>
                <c:pt idx="158">
                  <c:v>40558</c:v>
                </c:pt>
                <c:pt idx="159">
                  <c:v>40565</c:v>
                </c:pt>
                <c:pt idx="160">
                  <c:v>40572</c:v>
                </c:pt>
                <c:pt idx="161">
                  <c:v>40579</c:v>
                </c:pt>
                <c:pt idx="162">
                  <c:v>40586</c:v>
                </c:pt>
                <c:pt idx="163">
                  <c:v>40593</c:v>
                </c:pt>
                <c:pt idx="164">
                  <c:v>40600</c:v>
                </c:pt>
                <c:pt idx="165">
                  <c:v>40607</c:v>
                </c:pt>
                <c:pt idx="166">
                  <c:v>40614</c:v>
                </c:pt>
                <c:pt idx="167">
                  <c:v>40621</c:v>
                </c:pt>
                <c:pt idx="168">
                  <c:v>40628</c:v>
                </c:pt>
                <c:pt idx="169">
                  <c:v>40635</c:v>
                </c:pt>
                <c:pt idx="170">
                  <c:v>40642</c:v>
                </c:pt>
                <c:pt idx="171">
                  <c:v>40649</c:v>
                </c:pt>
                <c:pt idx="172">
                  <c:v>40656</c:v>
                </c:pt>
                <c:pt idx="173">
                  <c:v>40663</c:v>
                </c:pt>
                <c:pt idx="174">
                  <c:v>40670</c:v>
                </c:pt>
                <c:pt idx="175">
                  <c:v>40677</c:v>
                </c:pt>
                <c:pt idx="176">
                  <c:v>40684</c:v>
                </c:pt>
                <c:pt idx="177">
                  <c:v>40691</c:v>
                </c:pt>
                <c:pt idx="178">
                  <c:v>40698</c:v>
                </c:pt>
                <c:pt idx="179">
                  <c:v>40705</c:v>
                </c:pt>
                <c:pt idx="180">
                  <c:v>40712</c:v>
                </c:pt>
                <c:pt idx="181">
                  <c:v>40719</c:v>
                </c:pt>
                <c:pt idx="182">
                  <c:v>40726</c:v>
                </c:pt>
                <c:pt idx="183">
                  <c:v>40733</c:v>
                </c:pt>
                <c:pt idx="184">
                  <c:v>40740</c:v>
                </c:pt>
                <c:pt idx="185">
                  <c:v>40747</c:v>
                </c:pt>
                <c:pt idx="186">
                  <c:v>40754</c:v>
                </c:pt>
                <c:pt idx="187">
                  <c:v>40761</c:v>
                </c:pt>
                <c:pt idx="188">
                  <c:v>40768</c:v>
                </c:pt>
                <c:pt idx="189">
                  <c:v>40775</c:v>
                </c:pt>
                <c:pt idx="190">
                  <c:v>40782</c:v>
                </c:pt>
                <c:pt idx="191">
                  <c:v>40789</c:v>
                </c:pt>
                <c:pt idx="192">
                  <c:v>40796</c:v>
                </c:pt>
                <c:pt idx="193">
                  <c:v>40803</c:v>
                </c:pt>
                <c:pt idx="194">
                  <c:v>40810</c:v>
                </c:pt>
                <c:pt idx="195">
                  <c:v>40817</c:v>
                </c:pt>
                <c:pt idx="196">
                  <c:v>40824</c:v>
                </c:pt>
                <c:pt idx="197">
                  <c:v>40831</c:v>
                </c:pt>
                <c:pt idx="198">
                  <c:v>40838</c:v>
                </c:pt>
                <c:pt idx="199">
                  <c:v>40845</c:v>
                </c:pt>
                <c:pt idx="200">
                  <c:v>40852</c:v>
                </c:pt>
                <c:pt idx="201">
                  <c:v>40859</c:v>
                </c:pt>
                <c:pt idx="202">
                  <c:v>40866</c:v>
                </c:pt>
                <c:pt idx="203">
                  <c:v>40873</c:v>
                </c:pt>
                <c:pt idx="204">
                  <c:v>40880</c:v>
                </c:pt>
                <c:pt idx="205">
                  <c:v>40887</c:v>
                </c:pt>
                <c:pt idx="206">
                  <c:v>40894</c:v>
                </c:pt>
                <c:pt idx="207">
                  <c:v>40901</c:v>
                </c:pt>
                <c:pt idx="208">
                  <c:v>40908</c:v>
                </c:pt>
                <c:pt idx="209">
                  <c:v>40915</c:v>
                </c:pt>
                <c:pt idx="210">
                  <c:v>40922</c:v>
                </c:pt>
                <c:pt idx="211">
                  <c:v>40929</c:v>
                </c:pt>
                <c:pt idx="212">
                  <c:v>40936</c:v>
                </c:pt>
                <c:pt idx="213">
                  <c:v>40943</c:v>
                </c:pt>
                <c:pt idx="214">
                  <c:v>40950</c:v>
                </c:pt>
                <c:pt idx="215">
                  <c:v>40957</c:v>
                </c:pt>
                <c:pt idx="216">
                  <c:v>40964</c:v>
                </c:pt>
                <c:pt idx="217">
                  <c:v>40971</c:v>
                </c:pt>
                <c:pt idx="218">
                  <c:v>40978</c:v>
                </c:pt>
                <c:pt idx="219">
                  <c:v>40985</c:v>
                </c:pt>
                <c:pt idx="220">
                  <c:v>40992</c:v>
                </c:pt>
                <c:pt idx="221">
                  <c:v>40999</c:v>
                </c:pt>
                <c:pt idx="222">
                  <c:v>41006</c:v>
                </c:pt>
                <c:pt idx="223">
                  <c:v>41013</c:v>
                </c:pt>
                <c:pt idx="224">
                  <c:v>41020</c:v>
                </c:pt>
                <c:pt idx="225">
                  <c:v>41027</c:v>
                </c:pt>
                <c:pt idx="226">
                  <c:v>41034</c:v>
                </c:pt>
                <c:pt idx="227">
                  <c:v>41041</c:v>
                </c:pt>
                <c:pt idx="228">
                  <c:v>41048</c:v>
                </c:pt>
                <c:pt idx="229">
                  <c:v>41055</c:v>
                </c:pt>
                <c:pt idx="230">
                  <c:v>41062</c:v>
                </c:pt>
                <c:pt idx="231">
                  <c:v>41069</c:v>
                </c:pt>
                <c:pt idx="232">
                  <c:v>41076</c:v>
                </c:pt>
                <c:pt idx="233">
                  <c:v>41083</c:v>
                </c:pt>
                <c:pt idx="234">
                  <c:v>41090</c:v>
                </c:pt>
                <c:pt idx="235">
                  <c:v>41097</c:v>
                </c:pt>
                <c:pt idx="236">
                  <c:v>41104</c:v>
                </c:pt>
                <c:pt idx="237">
                  <c:v>41111</c:v>
                </c:pt>
                <c:pt idx="238">
                  <c:v>41118</c:v>
                </c:pt>
                <c:pt idx="239">
                  <c:v>41125</c:v>
                </c:pt>
                <c:pt idx="240">
                  <c:v>41132</c:v>
                </c:pt>
                <c:pt idx="241">
                  <c:v>41139</c:v>
                </c:pt>
                <c:pt idx="242">
                  <c:v>41146</c:v>
                </c:pt>
                <c:pt idx="243">
                  <c:v>41153</c:v>
                </c:pt>
                <c:pt idx="244">
                  <c:v>41160</c:v>
                </c:pt>
                <c:pt idx="245">
                  <c:v>41167</c:v>
                </c:pt>
                <c:pt idx="246">
                  <c:v>41174</c:v>
                </c:pt>
                <c:pt idx="247">
                  <c:v>41181</c:v>
                </c:pt>
                <c:pt idx="248">
                  <c:v>41188</c:v>
                </c:pt>
                <c:pt idx="249">
                  <c:v>41195</c:v>
                </c:pt>
                <c:pt idx="250">
                  <c:v>41202</c:v>
                </c:pt>
                <c:pt idx="251">
                  <c:v>41209</c:v>
                </c:pt>
                <c:pt idx="252">
                  <c:v>41216</c:v>
                </c:pt>
                <c:pt idx="253">
                  <c:v>41223</c:v>
                </c:pt>
                <c:pt idx="254">
                  <c:v>41230</c:v>
                </c:pt>
                <c:pt idx="255">
                  <c:v>41237</c:v>
                </c:pt>
                <c:pt idx="256">
                  <c:v>41244</c:v>
                </c:pt>
                <c:pt idx="257">
                  <c:v>41251</c:v>
                </c:pt>
                <c:pt idx="258">
                  <c:v>41258</c:v>
                </c:pt>
                <c:pt idx="259">
                  <c:v>41265</c:v>
                </c:pt>
                <c:pt idx="260">
                  <c:v>41272</c:v>
                </c:pt>
                <c:pt idx="261">
                  <c:v>41279</c:v>
                </c:pt>
                <c:pt idx="262">
                  <c:v>41286</c:v>
                </c:pt>
                <c:pt idx="263">
                  <c:v>41293</c:v>
                </c:pt>
                <c:pt idx="264">
                  <c:v>41300</c:v>
                </c:pt>
                <c:pt idx="265">
                  <c:v>41307</c:v>
                </c:pt>
                <c:pt idx="266">
                  <c:v>41314</c:v>
                </c:pt>
                <c:pt idx="267">
                  <c:v>41321</c:v>
                </c:pt>
                <c:pt idx="268">
                  <c:v>41328</c:v>
                </c:pt>
                <c:pt idx="269">
                  <c:v>41335</c:v>
                </c:pt>
                <c:pt idx="270">
                  <c:v>41342</c:v>
                </c:pt>
                <c:pt idx="271">
                  <c:v>41349</c:v>
                </c:pt>
                <c:pt idx="272">
                  <c:v>41356</c:v>
                </c:pt>
                <c:pt idx="273">
                  <c:v>41363</c:v>
                </c:pt>
                <c:pt idx="274">
                  <c:v>41370</c:v>
                </c:pt>
                <c:pt idx="275">
                  <c:v>41377</c:v>
                </c:pt>
                <c:pt idx="276">
                  <c:v>41384</c:v>
                </c:pt>
                <c:pt idx="277">
                  <c:v>41391</c:v>
                </c:pt>
                <c:pt idx="278">
                  <c:v>41398</c:v>
                </c:pt>
                <c:pt idx="279">
                  <c:v>41405</c:v>
                </c:pt>
                <c:pt idx="280">
                  <c:v>41412</c:v>
                </c:pt>
                <c:pt idx="281">
                  <c:v>41419</c:v>
                </c:pt>
                <c:pt idx="282">
                  <c:v>41426</c:v>
                </c:pt>
                <c:pt idx="283">
                  <c:v>41433</c:v>
                </c:pt>
                <c:pt idx="284">
                  <c:v>41440</c:v>
                </c:pt>
                <c:pt idx="285">
                  <c:v>41447</c:v>
                </c:pt>
                <c:pt idx="286">
                  <c:v>41454</c:v>
                </c:pt>
                <c:pt idx="287">
                  <c:v>41461</c:v>
                </c:pt>
                <c:pt idx="288">
                  <c:v>41468</c:v>
                </c:pt>
                <c:pt idx="289">
                  <c:v>41475</c:v>
                </c:pt>
                <c:pt idx="290">
                  <c:v>41482</c:v>
                </c:pt>
                <c:pt idx="291">
                  <c:v>41489</c:v>
                </c:pt>
                <c:pt idx="292">
                  <c:v>41496</c:v>
                </c:pt>
                <c:pt idx="293">
                  <c:v>41503</c:v>
                </c:pt>
                <c:pt idx="294">
                  <c:v>41510</c:v>
                </c:pt>
                <c:pt idx="295">
                  <c:v>41517</c:v>
                </c:pt>
                <c:pt idx="296">
                  <c:v>41524</c:v>
                </c:pt>
                <c:pt idx="297">
                  <c:v>41531</c:v>
                </c:pt>
                <c:pt idx="298">
                  <c:v>41538</c:v>
                </c:pt>
                <c:pt idx="299">
                  <c:v>41545</c:v>
                </c:pt>
                <c:pt idx="300">
                  <c:v>41552</c:v>
                </c:pt>
                <c:pt idx="301">
                  <c:v>41559</c:v>
                </c:pt>
                <c:pt idx="302">
                  <c:v>41566</c:v>
                </c:pt>
                <c:pt idx="303">
                  <c:v>41573</c:v>
                </c:pt>
                <c:pt idx="304">
                  <c:v>41580</c:v>
                </c:pt>
                <c:pt idx="305">
                  <c:v>41587</c:v>
                </c:pt>
                <c:pt idx="306">
                  <c:v>41594</c:v>
                </c:pt>
                <c:pt idx="307">
                  <c:v>41601</c:v>
                </c:pt>
                <c:pt idx="308">
                  <c:v>41608</c:v>
                </c:pt>
                <c:pt idx="309">
                  <c:v>41615</c:v>
                </c:pt>
                <c:pt idx="310">
                  <c:v>41622</c:v>
                </c:pt>
                <c:pt idx="311">
                  <c:v>41629</c:v>
                </c:pt>
                <c:pt idx="312">
                  <c:v>41636</c:v>
                </c:pt>
                <c:pt idx="313">
                  <c:v>41643</c:v>
                </c:pt>
                <c:pt idx="314">
                  <c:v>41650</c:v>
                </c:pt>
                <c:pt idx="315">
                  <c:v>41657</c:v>
                </c:pt>
                <c:pt idx="316">
                  <c:v>41664</c:v>
                </c:pt>
                <c:pt idx="317">
                  <c:v>41671</c:v>
                </c:pt>
                <c:pt idx="318">
                  <c:v>41678</c:v>
                </c:pt>
                <c:pt idx="319">
                  <c:v>41685</c:v>
                </c:pt>
                <c:pt idx="320">
                  <c:v>41692</c:v>
                </c:pt>
                <c:pt idx="321">
                  <c:v>41699</c:v>
                </c:pt>
                <c:pt idx="322">
                  <c:v>41706</c:v>
                </c:pt>
                <c:pt idx="323">
                  <c:v>41713</c:v>
                </c:pt>
                <c:pt idx="324">
                  <c:v>41720</c:v>
                </c:pt>
                <c:pt idx="325">
                  <c:v>41727</c:v>
                </c:pt>
                <c:pt idx="326">
                  <c:v>41734</c:v>
                </c:pt>
                <c:pt idx="327">
                  <c:v>41741</c:v>
                </c:pt>
              </c:numCache>
            </c:numRef>
          </c:cat>
          <c:val>
            <c:numRef>
              <c:f>Data!$F$123:$F$450</c:f>
              <c:numCache>
                <c:formatCode>General</c:formatCode>
                <c:ptCount val="328"/>
                <c:pt idx="0">
                  <c:v>648</c:v>
                </c:pt>
                <c:pt idx="1">
                  <c:v>750</c:v>
                </c:pt>
                <c:pt idx="2">
                  <c:v>685</c:v>
                </c:pt>
                <c:pt idx="3">
                  <c:v>648</c:v>
                </c:pt>
                <c:pt idx="4">
                  <c:v>770</c:v>
                </c:pt>
                <c:pt idx="5">
                  <c:v>749</c:v>
                </c:pt>
                <c:pt idx="6">
                  <c:v>757</c:v>
                </c:pt>
                <c:pt idx="7">
                  <c:v>607</c:v>
                </c:pt>
                <c:pt idx="8">
                  <c:v>627</c:v>
                </c:pt>
                <c:pt idx="9">
                  <c:v>713</c:v>
                </c:pt>
                <c:pt idx="10">
                  <c:v>661</c:v>
                </c:pt>
                <c:pt idx="11">
                  <c:v>600</c:v>
                </c:pt>
                <c:pt idx="12">
                  <c:v>508</c:v>
                </c:pt>
                <c:pt idx="13">
                  <c:v>498</c:v>
                </c:pt>
                <c:pt idx="14">
                  <c:v>395</c:v>
                </c:pt>
                <c:pt idx="15">
                  <c:v>446</c:v>
                </c:pt>
                <c:pt idx="16">
                  <c:v>317</c:v>
                </c:pt>
                <c:pt idx="17">
                  <c:v>347</c:v>
                </c:pt>
                <c:pt idx="18">
                  <c:v>278</c:v>
                </c:pt>
                <c:pt idx="19">
                  <c:v>259</c:v>
                </c:pt>
                <c:pt idx="20">
                  <c:v>436</c:v>
                </c:pt>
                <c:pt idx="21">
                  <c:v>400</c:v>
                </c:pt>
                <c:pt idx="22">
                  <c:v>438</c:v>
                </c:pt>
                <c:pt idx="23">
                  <c:v>503</c:v>
                </c:pt>
                <c:pt idx="24">
                  <c:v>548</c:v>
                </c:pt>
                <c:pt idx="25">
                  <c:v>472</c:v>
                </c:pt>
                <c:pt idx="26">
                  <c:v>379</c:v>
                </c:pt>
                <c:pt idx="27">
                  <c:v>362</c:v>
                </c:pt>
                <c:pt idx="28">
                  <c:v>358</c:v>
                </c:pt>
                <c:pt idx="29">
                  <c:v>389</c:v>
                </c:pt>
                <c:pt idx="30">
                  <c:v>457</c:v>
                </c:pt>
                <c:pt idx="31">
                  <c:v>648</c:v>
                </c:pt>
                <c:pt idx="32">
                  <c:v>568</c:v>
                </c:pt>
                <c:pt idx="33">
                  <c:v>525</c:v>
                </c:pt>
                <c:pt idx="34">
                  <c:v>355</c:v>
                </c:pt>
                <c:pt idx="35">
                  <c:v>42</c:v>
                </c:pt>
                <c:pt idx="36">
                  <c:v>479</c:v>
                </c:pt>
                <c:pt idx="37">
                  <c:v>596</c:v>
                </c:pt>
                <c:pt idx="38">
                  <c:v>573</c:v>
                </c:pt>
                <c:pt idx="39">
                  <c:v>529</c:v>
                </c:pt>
                <c:pt idx="40">
                  <c:v>551</c:v>
                </c:pt>
                <c:pt idx="41">
                  <c:v>577</c:v>
                </c:pt>
                <c:pt idx="42">
                  <c:v>544</c:v>
                </c:pt>
                <c:pt idx="43">
                  <c:v>521</c:v>
                </c:pt>
                <c:pt idx="44">
                  <c:v>583</c:v>
                </c:pt>
                <c:pt idx="45">
                  <c:v>688</c:v>
                </c:pt>
                <c:pt idx="46">
                  <c:v>551</c:v>
                </c:pt>
                <c:pt idx="47">
                  <c:v>648</c:v>
                </c:pt>
                <c:pt idx="48">
                  <c:v>712</c:v>
                </c:pt>
                <c:pt idx="49">
                  <c:v>653</c:v>
                </c:pt>
                <c:pt idx="50">
                  <c:v>605</c:v>
                </c:pt>
                <c:pt idx="51">
                  <c:v>610</c:v>
                </c:pt>
                <c:pt idx="52">
                  <c:v>564</c:v>
                </c:pt>
                <c:pt idx="53">
                  <c:v>568</c:v>
                </c:pt>
                <c:pt idx="54">
                  <c:v>678</c:v>
                </c:pt>
                <c:pt idx="55">
                  <c:v>694</c:v>
                </c:pt>
                <c:pt idx="56">
                  <c:v>636</c:v>
                </c:pt>
                <c:pt idx="57">
                  <c:v>687</c:v>
                </c:pt>
                <c:pt idx="58">
                  <c:v>646</c:v>
                </c:pt>
                <c:pt idx="59">
                  <c:v>561</c:v>
                </c:pt>
                <c:pt idx="60">
                  <c:v>507</c:v>
                </c:pt>
                <c:pt idx="61">
                  <c:v>585</c:v>
                </c:pt>
                <c:pt idx="62">
                  <c:v>563</c:v>
                </c:pt>
                <c:pt idx="63">
                  <c:v>577</c:v>
                </c:pt>
                <c:pt idx="64">
                  <c:v>641</c:v>
                </c:pt>
                <c:pt idx="65">
                  <c:v>663</c:v>
                </c:pt>
                <c:pt idx="66">
                  <c:v>664</c:v>
                </c:pt>
                <c:pt idx="67">
                  <c:v>623</c:v>
                </c:pt>
                <c:pt idx="68">
                  <c:v>387</c:v>
                </c:pt>
                <c:pt idx="69">
                  <c:v>579</c:v>
                </c:pt>
                <c:pt idx="70">
                  <c:v>618</c:v>
                </c:pt>
                <c:pt idx="71">
                  <c:v>587</c:v>
                </c:pt>
                <c:pt idx="72">
                  <c:v>480</c:v>
                </c:pt>
                <c:pt idx="73">
                  <c:v>541</c:v>
                </c:pt>
                <c:pt idx="74">
                  <c:v>535</c:v>
                </c:pt>
                <c:pt idx="75">
                  <c:v>654</c:v>
                </c:pt>
                <c:pt idx="76">
                  <c:v>628</c:v>
                </c:pt>
                <c:pt idx="77">
                  <c:v>558</c:v>
                </c:pt>
                <c:pt idx="78">
                  <c:v>608</c:v>
                </c:pt>
                <c:pt idx="79">
                  <c:v>600</c:v>
                </c:pt>
                <c:pt idx="80">
                  <c:v>597</c:v>
                </c:pt>
                <c:pt idx="81">
                  <c:v>676</c:v>
                </c:pt>
                <c:pt idx="82">
                  <c:v>482</c:v>
                </c:pt>
                <c:pt idx="83">
                  <c:v>555</c:v>
                </c:pt>
                <c:pt idx="84">
                  <c:v>459</c:v>
                </c:pt>
                <c:pt idx="85">
                  <c:v>544</c:v>
                </c:pt>
                <c:pt idx="86">
                  <c:v>544</c:v>
                </c:pt>
                <c:pt idx="87">
                  <c:v>606</c:v>
                </c:pt>
                <c:pt idx="88">
                  <c:v>457</c:v>
                </c:pt>
                <c:pt idx="89">
                  <c:v>514</c:v>
                </c:pt>
                <c:pt idx="90">
                  <c:v>553</c:v>
                </c:pt>
                <c:pt idx="91">
                  <c:v>445</c:v>
                </c:pt>
                <c:pt idx="92">
                  <c:v>430</c:v>
                </c:pt>
                <c:pt idx="93">
                  <c:v>497</c:v>
                </c:pt>
                <c:pt idx="94">
                  <c:v>593</c:v>
                </c:pt>
                <c:pt idx="95">
                  <c:v>558</c:v>
                </c:pt>
                <c:pt idx="96">
                  <c:v>689</c:v>
                </c:pt>
                <c:pt idx="97">
                  <c:v>719</c:v>
                </c:pt>
                <c:pt idx="98">
                  <c:v>722</c:v>
                </c:pt>
                <c:pt idx="99">
                  <c:v>593</c:v>
                </c:pt>
                <c:pt idx="100">
                  <c:v>625</c:v>
                </c:pt>
                <c:pt idx="101">
                  <c:v>599</c:v>
                </c:pt>
                <c:pt idx="102">
                  <c:v>466</c:v>
                </c:pt>
                <c:pt idx="103">
                  <c:v>647</c:v>
                </c:pt>
                <c:pt idx="104">
                  <c:v>770</c:v>
                </c:pt>
                <c:pt idx="105">
                  <c:v>800</c:v>
                </c:pt>
                <c:pt idx="106">
                  <c:v>770</c:v>
                </c:pt>
                <c:pt idx="107">
                  <c:v>671</c:v>
                </c:pt>
                <c:pt idx="108">
                  <c:v>747</c:v>
                </c:pt>
                <c:pt idx="109">
                  <c:v>658</c:v>
                </c:pt>
                <c:pt idx="110">
                  <c:v>598</c:v>
                </c:pt>
                <c:pt idx="111">
                  <c:v>708</c:v>
                </c:pt>
                <c:pt idx="112">
                  <c:v>759</c:v>
                </c:pt>
                <c:pt idx="113">
                  <c:v>577</c:v>
                </c:pt>
                <c:pt idx="114">
                  <c:v>583</c:v>
                </c:pt>
                <c:pt idx="115">
                  <c:v>725</c:v>
                </c:pt>
                <c:pt idx="116">
                  <c:v>621</c:v>
                </c:pt>
                <c:pt idx="117">
                  <c:v>425</c:v>
                </c:pt>
                <c:pt idx="118">
                  <c:v>392</c:v>
                </c:pt>
                <c:pt idx="119">
                  <c:v>461</c:v>
                </c:pt>
                <c:pt idx="120">
                  <c:v>320</c:v>
                </c:pt>
                <c:pt idx="121">
                  <c:v>305</c:v>
                </c:pt>
                <c:pt idx="122">
                  <c:v>469</c:v>
                </c:pt>
                <c:pt idx="123">
                  <c:v>523</c:v>
                </c:pt>
                <c:pt idx="124">
                  <c:v>513</c:v>
                </c:pt>
                <c:pt idx="125">
                  <c:v>504</c:v>
                </c:pt>
                <c:pt idx="126">
                  <c:v>549</c:v>
                </c:pt>
                <c:pt idx="127">
                  <c:v>466</c:v>
                </c:pt>
                <c:pt idx="128">
                  <c:v>457</c:v>
                </c:pt>
                <c:pt idx="129">
                  <c:v>494</c:v>
                </c:pt>
                <c:pt idx="130">
                  <c:v>453</c:v>
                </c:pt>
                <c:pt idx="131">
                  <c:v>490</c:v>
                </c:pt>
                <c:pt idx="132">
                  <c:v>527</c:v>
                </c:pt>
                <c:pt idx="133">
                  <c:v>410</c:v>
                </c:pt>
                <c:pt idx="134">
                  <c:v>364</c:v>
                </c:pt>
                <c:pt idx="135">
                  <c:v>455</c:v>
                </c:pt>
                <c:pt idx="136">
                  <c:v>506</c:v>
                </c:pt>
                <c:pt idx="137">
                  <c:v>528</c:v>
                </c:pt>
                <c:pt idx="138">
                  <c:v>450</c:v>
                </c:pt>
                <c:pt idx="139">
                  <c:v>537</c:v>
                </c:pt>
                <c:pt idx="140">
                  <c:v>428</c:v>
                </c:pt>
                <c:pt idx="141">
                  <c:v>547</c:v>
                </c:pt>
                <c:pt idx="142">
                  <c:v>627</c:v>
                </c:pt>
                <c:pt idx="143">
                  <c:v>612</c:v>
                </c:pt>
                <c:pt idx="144">
                  <c:v>649</c:v>
                </c:pt>
                <c:pt idx="145">
                  <c:v>709</c:v>
                </c:pt>
                <c:pt idx="146">
                  <c:v>649</c:v>
                </c:pt>
                <c:pt idx="147">
                  <c:v>709</c:v>
                </c:pt>
                <c:pt idx="148">
                  <c:v>650</c:v>
                </c:pt>
                <c:pt idx="149">
                  <c:v>755</c:v>
                </c:pt>
                <c:pt idx="150">
                  <c:v>774</c:v>
                </c:pt>
                <c:pt idx="151">
                  <c:v>662</c:v>
                </c:pt>
                <c:pt idx="152">
                  <c:v>798</c:v>
                </c:pt>
                <c:pt idx="153">
                  <c:v>846</c:v>
                </c:pt>
                <c:pt idx="154">
                  <c:v>732</c:v>
                </c:pt>
                <c:pt idx="155">
                  <c:v>564</c:v>
                </c:pt>
                <c:pt idx="156">
                  <c:v>430</c:v>
                </c:pt>
                <c:pt idx="157">
                  <c:v>654</c:v>
                </c:pt>
                <c:pt idx="158">
                  <c:v>571</c:v>
                </c:pt>
                <c:pt idx="159">
                  <c:v>610</c:v>
                </c:pt>
                <c:pt idx="160">
                  <c:v>701</c:v>
                </c:pt>
                <c:pt idx="161">
                  <c:v>637</c:v>
                </c:pt>
                <c:pt idx="162">
                  <c:v>694</c:v>
                </c:pt>
                <c:pt idx="163">
                  <c:v>725</c:v>
                </c:pt>
                <c:pt idx="164">
                  <c:v>654</c:v>
                </c:pt>
                <c:pt idx="165">
                  <c:v>714</c:v>
                </c:pt>
                <c:pt idx="166">
                  <c:v>563</c:v>
                </c:pt>
                <c:pt idx="167">
                  <c:v>607</c:v>
                </c:pt>
                <c:pt idx="168">
                  <c:v>657</c:v>
                </c:pt>
                <c:pt idx="169">
                  <c:v>497</c:v>
                </c:pt>
                <c:pt idx="170">
                  <c:v>542</c:v>
                </c:pt>
                <c:pt idx="171">
                  <c:v>447</c:v>
                </c:pt>
                <c:pt idx="172">
                  <c:v>302</c:v>
                </c:pt>
                <c:pt idx="173">
                  <c:v>390</c:v>
                </c:pt>
                <c:pt idx="174">
                  <c:v>340</c:v>
                </c:pt>
                <c:pt idx="175">
                  <c:v>268</c:v>
                </c:pt>
                <c:pt idx="176">
                  <c:v>368</c:v>
                </c:pt>
                <c:pt idx="177">
                  <c:v>366</c:v>
                </c:pt>
                <c:pt idx="178">
                  <c:v>319</c:v>
                </c:pt>
                <c:pt idx="179">
                  <c:v>297</c:v>
                </c:pt>
                <c:pt idx="180">
                  <c:v>365</c:v>
                </c:pt>
                <c:pt idx="181">
                  <c:v>416</c:v>
                </c:pt>
                <c:pt idx="182">
                  <c:v>415</c:v>
                </c:pt>
                <c:pt idx="183">
                  <c:v>435</c:v>
                </c:pt>
                <c:pt idx="184">
                  <c:v>495</c:v>
                </c:pt>
                <c:pt idx="185">
                  <c:v>449</c:v>
                </c:pt>
                <c:pt idx="186">
                  <c:v>386</c:v>
                </c:pt>
                <c:pt idx="187">
                  <c:v>473</c:v>
                </c:pt>
                <c:pt idx="188">
                  <c:v>532</c:v>
                </c:pt>
                <c:pt idx="189">
                  <c:v>433</c:v>
                </c:pt>
                <c:pt idx="190">
                  <c:v>489</c:v>
                </c:pt>
                <c:pt idx="191">
                  <c:v>341</c:v>
                </c:pt>
                <c:pt idx="192">
                  <c:v>420</c:v>
                </c:pt>
                <c:pt idx="193">
                  <c:v>389</c:v>
                </c:pt>
                <c:pt idx="194">
                  <c:v>504</c:v>
                </c:pt>
                <c:pt idx="195">
                  <c:v>530</c:v>
                </c:pt>
                <c:pt idx="196">
                  <c:v>487</c:v>
                </c:pt>
                <c:pt idx="197">
                  <c:v>519</c:v>
                </c:pt>
                <c:pt idx="198">
                  <c:v>625</c:v>
                </c:pt>
                <c:pt idx="199">
                  <c:v>693</c:v>
                </c:pt>
                <c:pt idx="200">
                  <c:v>719</c:v>
                </c:pt>
                <c:pt idx="201">
                  <c:v>764</c:v>
                </c:pt>
                <c:pt idx="202">
                  <c:v>840</c:v>
                </c:pt>
                <c:pt idx="203">
                  <c:v>667</c:v>
                </c:pt>
                <c:pt idx="204">
                  <c:v>714</c:v>
                </c:pt>
                <c:pt idx="205">
                  <c:v>672</c:v>
                </c:pt>
                <c:pt idx="206">
                  <c:v>657</c:v>
                </c:pt>
                <c:pt idx="207">
                  <c:v>690</c:v>
                </c:pt>
                <c:pt idx="208">
                  <c:v>552</c:v>
                </c:pt>
                <c:pt idx="209">
                  <c:v>681</c:v>
                </c:pt>
                <c:pt idx="210">
                  <c:v>840</c:v>
                </c:pt>
                <c:pt idx="211">
                  <c:v>772</c:v>
                </c:pt>
                <c:pt idx="212">
                  <c:v>793</c:v>
                </c:pt>
                <c:pt idx="213">
                  <c:v>657</c:v>
                </c:pt>
                <c:pt idx="214">
                  <c:v>713</c:v>
                </c:pt>
                <c:pt idx="215">
                  <c:v>601</c:v>
                </c:pt>
                <c:pt idx="216">
                  <c:v>563</c:v>
                </c:pt>
                <c:pt idx="217">
                  <c:v>593</c:v>
                </c:pt>
                <c:pt idx="218">
                  <c:v>493</c:v>
                </c:pt>
                <c:pt idx="219">
                  <c:v>457</c:v>
                </c:pt>
                <c:pt idx="220" formatCode="0">
                  <c:v>496</c:v>
                </c:pt>
                <c:pt idx="221" formatCode="0">
                  <c:v>482</c:v>
                </c:pt>
                <c:pt idx="222" formatCode="0">
                  <c:v>495</c:v>
                </c:pt>
                <c:pt idx="223" formatCode="0">
                  <c:v>649</c:v>
                </c:pt>
                <c:pt idx="224" formatCode="0">
                  <c:v>476</c:v>
                </c:pt>
                <c:pt idx="225" formatCode="0">
                  <c:v>312</c:v>
                </c:pt>
                <c:pt idx="226" formatCode="0">
                  <c:v>416</c:v>
                </c:pt>
                <c:pt idx="227" formatCode="0">
                  <c:v>651</c:v>
                </c:pt>
                <c:pt idx="228" formatCode="0">
                  <c:v>417</c:v>
                </c:pt>
                <c:pt idx="229" formatCode="0">
                  <c:v>430</c:v>
                </c:pt>
                <c:pt idx="230" formatCode="0">
                  <c:v>360</c:v>
                </c:pt>
                <c:pt idx="231" formatCode="0">
                  <c:v>243</c:v>
                </c:pt>
                <c:pt idx="232" formatCode="0">
                  <c:v>425</c:v>
                </c:pt>
                <c:pt idx="233" formatCode="0">
                  <c:v>366</c:v>
                </c:pt>
                <c:pt idx="234" formatCode="0">
                  <c:v>498</c:v>
                </c:pt>
                <c:pt idx="235" formatCode="0">
                  <c:v>449</c:v>
                </c:pt>
                <c:pt idx="236" formatCode="0">
                  <c:v>391</c:v>
                </c:pt>
                <c:pt idx="237" formatCode="0">
                  <c:v>506</c:v>
                </c:pt>
                <c:pt idx="238" formatCode="0">
                  <c:v>456</c:v>
                </c:pt>
                <c:pt idx="239" formatCode="0">
                  <c:v>465</c:v>
                </c:pt>
                <c:pt idx="240" formatCode="0">
                  <c:v>556</c:v>
                </c:pt>
                <c:pt idx="241" formatCode="0">
                  <c:v>502</c:v>
                </c:pt>
                <c:pt idx="242" formatCode="0">
                  <c:v>554</c:v>
                </c:pt>
                <c:pt idx="243" formatCode="0">
                  <c:v>228</c:v>
                </c:pt>
                <c:pt idx="244" formatCode="0">
                  <c:v>469</c:v>
                </c:pt>
                <c:pt idx="245" formatCode="0">
                  <c:v>603</c:v>
                </c:pt>
                <c:pt idx="246" formatCode="0">
                  <c:v>649</c:v>
                </c:pt>
                <c:pt idx="247" formatCode="0">
                  <c:v>686</c:v>
                </c:pt>
                <c:pt idx="248" formatCode="0">
                  <c:v>598</c:v>
                </c:pt>
                <c:pt idx="249" formatCode="0">
                  <c:v>714</c:v>
                </c:pt>
                <c:pt idx="250" formatCode="0">
                  <c:v>814</c:v>
                </c:pt>
                <c:pt idx="251" formatCode="0">
                  <c:v>843</c:v>
                </c:pt>
                <c:pt idx="252" formatCode="0">
                  <c:v>848</c:v>
                </c:pt>
                <c:pt idx="253" formatCode="0">
                  <c:v>831</c:v>
                </c:pt>
                <c:pt idx="254" formatCode="0">
                  <c:v>905</c:v>
                </c:pt>
                <c:pt idx="255" formatCode="0">
                  <c:v>655</c:v>
                </c:pt>
                <c:pt idx="256" formatCode="0">
                  <c:v>635</c:v>
                </c:pt>
                <c:pt idx="257" formatCode="0">
                  <c:v>632</c:v>
                </c:pt>
                <c:pt idx="258" formatCode="0">
                  <c:v>634</c:v>
                </c:pt>
                <c:pt idx="259" formatCode="0">
                  <c:v>696</c:v>
                </c:pt>
                <c:pt idx="260" formatCode="0">
                  <c:v>600</c:v>
                </c:pt>
                <c:pt idx="261" formatCode="0">
                  <c:v>427</c:v>
                </c:pt>
                <c:pt idx="262" formatCode="0">
                  <c:v>509</c:v>
                </c:pt>
                <c:pt idx="263" formatCode="0">
                  <c:v>572</c:v>
                </c:pt>
                <c:pt idx="264" formatCode="0">
                  <c:v>643</c:v>
                </c:pt>
                <c:pt idx="265" formatCode="0">
                  <c:v>513</c:v>
                </c:pt>
                <c:pt idx="266" formatCode="0">
                  <c:v>531</c:v>
                </c:pt>
                <c:pt idx="267" formatCode="0">
                  <c:v>498</c:v>
                </c:pt>
                <c:pt idx="268" formatCode="0">
                  <c:v>589</c:v>
                </c:pt>
                <c:pt idx="269" formatCode="0">
                  <c:v>503</c:v>
                </c:pt>
                <c:pt idx="270" formatCode="0">
                  <c:v>380</c:v>
                </c:pt>
                <c:pt idx="271" formatCode="0">
                  <c:v>448</c:v>
                </c:pt>
                <c:pt idx="272" formatCode="0">
                  <c:v>397</c:v>
                </c:pt>
                <c:pt idx="273" formatCode="0">
                  <c:v>363</c:v>
                </c:pt>
                <c:pt idx="274" formatCode="0">
                  <c:v>311</c:v>
                </c:pt>
                <c:pt idx="275" formatCode="0">
                  <c:v>327</c:v>
                </c:pt>
                <c:pt idx="276" formatCode="0">
                  <c:v>378</c:v>
                </c:pt>
                <c:pt idx="277" formatCode="0">
                  <c:v>278</c:v>
                </c:pt>
                <c:pt idx="278" formatCode="0">
                  <c:v>234</c:v>
                </c:pt>
                <c:pt idx="279" formatCode="0">
                  <c:v>202</c:v>
                </c:pt>
                <c:pt idx="280" formatCode="0">
                  <c:v>376</c:v>
                </c:pt>
                <c:pt idx="281" formatCode="0">
                  <c:v>382</c:v>
                </c:pt>
                <c:pt idx="282" formatCode="0">
                  <c:v>267</c:v>
                </c:pt>
                <c:pt idx="283" formatCode="0">
                  <c:v>313</c:v>
                </c:pt>
                <c:pt idx="284" formatCode="0">
                  <c:v>260</c:v>
                </c:pt>
                <c:pt idx="285" formatCode="0">
                  <c:v>328</c:v>
                </c:pt>
                <c:pt idx="286" formatCode="0">
                  <c:v>394</c:v>
                </c:pt>
                <c:pt idx="287" formatCode="0">
                  <c:v>287</c:v>
                </c:pt>
                <c:pt idx="288" formatCode="0">
                  <c:v>430</c:v>
                </c:pt>
                <c:pt idx="289" formatCode="0">
                  <c:v>315</c:v>
                </c:pt>
                <c:pt idx="290" formatCode="0">
                  <c:v>329</c:v>
                </c:pt>
                <c:pt idx="291" formatCode="0">
                  <c:v>376</c:v>
                </c:pt>
                <c:pt idx="292" formatCode="0">
                  <c:v>376</c:v>
                </c:pt>
                <c:pt idx="293" formatCode="0">
                  <c:v>380</c:v>
                </c:pt>
                <c:pt idx="294" formatCode="0">
                  <c:v>377</c:v>
                </c:pt>
                <c:pt idx="295" formatCode="0">
                  <c:v>391</c:v>
                </c:pt>
                <c:pt idx="296" formatCode="0">
                  <c:v>462</c:v>
                </c:pt>
                <c:pt idx="297" formatCode="0">
                  <c:v>527</c:v>
                </c:pt>
                <c:pt idx="298" formatCode="0">
                  <c:v>676</c:v>
                </c:pt>
                <c:pt idx="299" formatCode="0">
                  <c:v>680</c:v>
                </c:pt>
                <c:pt idx="300" formatCode="0">
                  <c:v>744</c:v>
                </c:pt>
                <c:pt idx="301" formatCode="0">
                  <c:v>827</c:v>
                </c:pt>
                <c:pt idx="302" formatCode="0">
                  <c:v>780</c:v>
                </c:pt>
                <c:pt idx="303" formatCode="0">
                  <c:v>813</c:v>
                </c:pt>
                <c:pt idx="304" formatCode="0">
                  <c:v>921</c:v>
                </c:pt>
                <c:pt idx="305" formatCode="0">
                  <c:v>934</c:v>
                </c:pt>
                <c:pt idx="306" formatCode="0">
                  <c:v>947</c:v>
                </c:pt>
                <c:pt idx="307" formatCode="0">
                  <c:v>907</c:v>
                </c:pt>
                <c:pt idx="308" formatCode="0">
                  <c:v>839</c:v>
                </c:pt>
                <c:pt idx="309" formatCode="0">
                  <c:v>916</c:v>
                </c:pt>
                <c:pt idx="310" formatCode="0">
                  <c:v>798</c:v>
                </c:pt>
                <c:pt idx="311" formatCode="0">
                  <c:v>871</c:v>
                </c:pt>
                <c:pt idx="312" formatCode="0">
                  <c:v>671</c:v>
                </c:pt>
                <c:pt idx="313" formatCode="0">
                  <c:v>814</c:v>
                </c:pt>
                <c:pt idx="314" formatCode="0">
                  <c:v>749</c:v>
                </c:pt>
                <c:pt idx="315" formatCode="0">
                  <c:v>888</c:v>
                </c:pt>
                <c:pt idx="316" formatCode="0">
                  <c:v>771</c:v>
                </c:pt>
                <c:pt idx="317" formatCode="0">
                  <c:v>682</c:v>
                </c:pt>
                <c:pt idx="318" formatCode="0">
                  <c:v>774</c:v>
                </c:pt>
                <c:pt idx="319" formatCode="0">
                  <c:v>739</c:v>
                </c:pt>
                <c:pt idx="320" formatCode="0">
                  <c:v>819</c:v>
                </c:pt>
                <c:pt idx="321" formatCode="0">
                  <c:v>703</c:v>
                </c:pt>
                <c:pt idx="322" formatCode="0">
                  <c:v>691</c:v>
                </c:pt>
                <c:pt idx="323" formatCode="0">
                  <c:v>726</c:v>
                </c:pt>
                <c:pt idx="324" formatCode="0">
                  <c:v>757</c:v>
                </c:pt>
                <c:pt idx="325" formatCode="0">
                  <c:v>761</c:v>
                </c:pt>
                <c:pt idx="326" formatCode="0">
                  <c:v>709</c:v>
                </c:pt>
                <c:pt idx="327" formatCode="0">
                  <c:v>676</c:v>
                </c:pt>
              </c:numCache>
            </c:numRef>
          </c:val>
          <c:smooth val="0"/>
          <c:extLst>
            <c:ext xmlns:c16="http://schemas.microsoft.com/office/drawing/2014/chart" uri="{C3380CC4-5D6E-409C-BE32-E72D297353CC}">
              <c16:uniqueId val="{00000001-03C7-427B-9AAD-5D3F0B3C88A3}"/>
            </c:ext>
          </c:extLst>
        </c:ser>
        <c:dLbls>
          <c:showLegendKey val="0"/>
          <c:showVal val="0"/>
          <c:showCatName val="0"/>
          <c:showSerName val="0"/>
          <c:showPercent val="0"/>
          <c:showBubbleSize val="0"/>
        </c:dLbls>
        <c:marker val="1"/>
        <c:smooth val="0"/>
        <c:axId val="518328088"/>
        <c:axId val="518330048"/>
      </c:lineChart>
      <c:dateAx>
        <c:axId val="518328088"/>
        <c:scaling>
          <c:orientation val="minMax"/>
        </c:scaling>
        <c:delete val="0"/>
        <c:axPos val="b"/>
        <c:numFmt formatCode="m/d/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Times New Roman"/>
                <a:ea typeface="Times New Roman"/>
                <a:cs typeface="Times New Roman"/>
              </a:defRPr>
            </a:pPr>
            <a:endParaRPr lang="en-US"/>
          </a:p>
        </c:txPr>
        <c:crossAx val="518330048"/>
        <c:crosses val="autoZero"/>
        <c:auto val="1"/>
        <c:lblOffset val="100"/>
        <c:baseTimeUnit val="days"/>
        <c:majorUnit val="7"/>
        <c:majorTimeUnit val="days"/>
        <c:minorUnit val="1"/>
        <c:minorTimeUnit val="days"/>
      </c:dateAx>
      <c:valAx>
        <c:axId val="518330048"/>
        <c:scaling>
          <c:orientation val="minMax"/>
          <c:max val="1200"/>
          <c:min val="0"/>
        </c:scaling>
        <c:delete val="0"/>
        <c:axPos val="l"/>
        <c:numFmt formatCode="0"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Times New Roman"/>
                <a:ea typeface="Times New Roman"/>
                <a:cs typeface="Times New Roman"/>
              </a:defRPr>
            </a:pPr>
            <a:endParaRPr lang="en-US"/>
          </a:p>
        </c:txPr>
        <c:crossAx val="518328088"/>
        <c:crosses val="autoZero"/>
        <c:crossBetween val="between"/>
      </c:valAx>
      <c:spPr>
        <a:solidFill>
          <a:srgbClr val="FFFFFF"/>
        </a:solidFill>
        <a:ln w="12700">
          <a:solidFill>
            <a:srgbClr val="C0C0C0"/>
          </a:solidFill>
          <a:prstDash val="solid"/>
        </a:ln>
      </c:spPr>
    </c:plotArea>
    <c:legend>
      <c:legendPos val="r"/>
      <c:layout>
        <c:manualLayout>
          <c:xMode val="edge"/>
          <c:yMode val="edge"/>
          <c:x val="0.10659072886759162"/>
          <c:y val="6.4431238521447443E-2"/>
          <c:w val="0.3970363252649422"/>
          <c:h val="0.10559022222896754"/>
        </c:manualLayout>
      </c:layout>
      <c:overlay val="0"/>
      <c:spPr>
        <a:noFill/>
        <a:ln w="25400">
          <a:noFill/>
        </a:ln>
      </c:spPr>
      <c:txPr>
        <a:bodyPr/>
        <a:lstStyle/>
        <a:p>
          <a:pPr>
            <a:defRPr sz="75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1465" r="0.75000000000001465" t="1" header="0.5" footer="0.5"/>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77218</xdr:colOff>
      <xdr:row>2</xdr:row>
      <xdr:rowOff>48494</xdr:rowOff>
    </xdr:from>
    <xdr:to>
      <xdr:col>10</xdr:col>
      <xdr:colOff>40705</xdr:colOff>
      <xdr:row>21</xdr:row>
      <xdr:rowOff>38969</xdr:rowOff>
    </xdr:to>
    <xdr:graphicFrame macro="">
      <xdr:nvGraphicFramePr>
        <xdr:cNvPr id="2093" name="Chart 1">
          <a:extLst>
            <a:ext uri="{FF2B5EF4-FFF2-40B4-BE49-F238E27FC236}">
              <a16:creationId xmlns:a16="http://schemas.microsoft.com/office/drawing/2014/main" id="{00000000-0008-0000-0100-00002D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133350</xdr:colOff>
      <xdr:row>3</xdr:row>
      <xdr:rowOff>38101</xdr:rowOff>
    </xdr:from>
    <xdr:to>
      <xdr:col>9</xdr:col>
      <xdr:colOff>40640</xdr:colOff>
      <xdr:row>5</xdr:row>
      <xdr:rowOff>114300</xdr:rowOff>
    </xdr:to>
    <xdr:sp macro="" textlink="'Figure text'!A1">
      <xdr:nvSpPr>
        <xdr:cNvPr id="2" name="TextBox 1">
          <a:extLst>
            <a:ext uri="{FF2B5EF4-FFF2-40B4-BE49-F238E27FC236}">
              <a16:creationId xmlns:a16="http://schemas.microsoft.com/office/drawing/2014/main" id="{3A2F5AE4-BFEA-4054-B759-0B29F5A16A13}"/>
            </a:ext>
          </a:extLst>
        </xdr:cNvPr>
        <xdr:cNvSpPr txBox="1"/>
      </xdr:nvSpPr>
      <xdr:spPr>
        <a:xfrm>
          <a:off x="723900" y="552451"/>
          <a:ext cx="4555490" cy="419099"/>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CE276C3-8DB0-48AC-9D14-5EC8BE071531}" type="TxLink">
            <a:rPr lang="en-US" sz="800" b="0" i="0" u="none" strike="noStrike">
              <a:solidFill>
                <a:srgbClr val="000000"/>
              </a:solidFill>
              <a:latin typeface="Times New Roman" panose="02020603050405020304" pitchFamily="18" charset="0"/>
              <a:cs typeface="Times New Roman" panose="02020603050405020304" pitchFamily="18" charset="0"/>
            </a:rPr>
            <a:pPr/>
            <a:t>For the week ending April 19: 352 barges moved down river, 3 more than the previous week; 575 grain barges unloaded in the New Orleans Region,  22 percent fewer than the previous week.</a:t>
          </a:fld>
          <a:endParaRPr lang="en-US" sz="8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0.25136</cdr:y>
    </cdr:from>
    <cdr:to>
      <cdr:x>0.04625</cdr:x>
      <cdr:y>0.56762</cdr:y>
    </cdr:to>
    <cdr:sp macro="" textlink="">
      <cdr:nvSpPr>
        <cdr:cNvPr id="3073" name="Rectangle 1"/>
        <cdr:cNvSpPr>
          <a:spLocks xmlns:a="http://schemas.openxmlformats.org/drawingml/2006/main" noChangeArrowheads="1"/>
        </cdr:cNvSpPr>
      </cdr:nvSpPr>
      <cdr:spPr bwMode="auto">
        <a:xfrm xmlns:a="http://schemas.openxmlformats.org/drawingml/2006/main">
          <a:off x="0" y="755770"/>
          <a:ext cx="262263" cy="9509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27432" tIns="0" rIns="27432" bIns="22860" anchor="ctr" upright="1"/>
        <a:lstStyle xmlns:a="http://schemas.openxmlformats.org/drawingml/2006/main"/>
        <a:p xmlns:a="http://schemas.openxmlformats.org/drawingml/2006/main">
          <a:pPr algn="l" rtl="0">
            <a:defRPr sz="1000"/>
          </a:pPr>
          <a:r>
            <a:rPr lang="en-US" sz="800" b="1" i="0" strike="noStrike">
              <a:solidFill>
                <a:srgbClr val="000000"/>
              </a:solidFill>
              <a:latin typeface="Times New Roman"/>
              <a:cs typeface="Times New Roman"/>
            </a:rPr>
            <a:t>Number of  barges</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0</xdr:colOff>
      <xdr:row>3</xdr:row>
      <xdr:rowOff>0</xdr:rowOff>
    </xdr:from>
    <xdr:to>
      <xdr:col>15</xdr:col>
      <xdr:colOff>15240</xdr:colOff>
      <xdr:row>23</xdr:row>
      <xdr:rowOff>160020</xdr:rowOff>
    </xdr:to>
    <xdr:graphicFrame macro="">
      <xdr:nvGraphicFramePr>
        <xdr:cNvPr id="2" name="Chart 1">
          <a:extLst>
            <a:ext uri="{FF2B5EF4-FFF2-40B4-BE49-F238E27FC236}">
              <a16:creationId xmlns:a16="http://schemas.microsoft.com/office/drawing/2014/main" id="{DCCC5D71-DF9F-44C7-B248-59731018E0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0.16113</cdr:y>
    </cdr:from>
    <cdr:to>
      <cdr:x>0.04625</cdr:x>
      <cdr:y>0.59342</cdr:y>
    </cdr:to>
    <cdr:sp macro="" textlink="">
      <cdr:nvSpPr>
        <cdr:cNvPr id="3073" name="Rectangle 1"/>
        <cdr:cNvSpPr>
          <a:spLocks xmlns:a="http://schemas.openxmlformats.org/drawingml/2006/main" noChangeArrowheads="1"/>
        </cdr:cNvSpPr>
      </cdr:nvSpPr>
      <cdr:spPr bwMode="auto">
        <a:xfrm xmlns:a="http://schemas.openxmlformats.org/drawingml/2006/main">
          <a:off x="0" y="578285"/>
          <a:ext cx="367227" cy="155150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27432" tIns="0" rIns="27432" bIns="22860" anchor="ctr" upright="1"/>
        <a:lstStyle xmlns:a="http://schemas.openxmlformats.org/drawingml/2006/main"/>
        <a:p xmlns:a="http://schemas.openxmlformats.org/drawingml/2006/main">
          <a:pPr algn="l" rtl="0">
            <a:defRPr sz="1000"/>
          </a:pPr>
          <a:r>
            <a:rPr lang="en-US" sz="1400" b="1" i="0" strike="noStrike">
              <a:solidFill>
                <a:srgbClr val="000000"/>
              </a:solidFill>
              <a:latin typeface="+mn-lt"/>
              <a:cs typeface="Times New Roman"/>
            </a:rPr>
            <a:t>Number of  barges</a:t>
          </a:r>
        </a:p>
      </cdr:txBody>
    </cdr:sp>
  </cdr:relSizeAnchor>
</c:userShapes>
</file>

<file path=xl/drawings/drawing5.xml><?xml version="1.0" encoding="utf-8"?>
<xdr:wsDr xmlns:xdr="http://schemas.openxmlformats.org/drawingml/2006/spreadsheetDrawing" xmlns:a="http://schemas.openxmlformats.org/drawingml/2006/main">
  <xdr:twoCellAnchor>
    <xdr:from>
      <xdr:col>21</xdr:col>
      <xdr:colOff>152400</xdr:colOff>
      <xdr:row>0</xdr:row>
      <xdr:rowOff>0</xdr:rowOff>
    </xdr:from>
    <xdr:to>
      <xdr:col>21</xdr:col>
      <xdr:colOff>152400</xdr:colOff>
      <xdr:row>0</xdr:row>
      <xdr:rowOff>0</xdr:rowOff>
    </xdr:to>
    <xdr:sp macro="" textlink="">
      <xdr:nvSpPr>
        <xdr:cNvPr id="1291" name="Line 1">
          <a:extLst>
            <a:ext uri="{FF2B5EF4-FFF2-40B4-BE49-F238E27FC236}">
              <a16:creationId xmlns:a16="http://schemas.microsoft.com/office/drawing/2014/main" id="{00000000-0008-0000-0200-00000B050000}"/>
            </a:ext>
          </a:extLst>
        </xdr:cNvPr>
        <xdr:cNvSpPr>
          <a:spLocks noChangeShapeType="1"/>
        </xdr:cNvSpPr>
      </xdr:nvSpPr>
      <xdr:spPr bwMode="auto">
        <a:xfrm>
          <a:off x="17221200" y="0"/>
          <a:ext cx="0" cy="0"/>
        </a:xfrm>
        <a:prstGeom prst="line">
          <a:avLst/>
        </a:prstGeom>
        <a:noFill/>
        <a:ln w="0">
          <a:solidFill>
            <a:srgbClr val="FF0000"/>
          </a:solidFill>
          <a:round/>
          <a:headEnd/>
          <a:tailEnd type="arrow" w="med" len="med"/>
        </a:ln>
      </xdr:spPr>
    </xdr:sp>
    <xdr:clientData/>
  </xdr:twoCellAnchor>
  <xdr:twoCellAnchor>
    <xdr:from>
      <xdr:col>21</xdr:col>
      <xdr:colOff>152400</xdr:colOff>
      <xdr:row>0</xdr:row>
      <xdr:rowOff>0</xdr:rowOff>
    </xdr:from>
    <xdr:to>
      <xdr:col>21</xdr:col>
      <xdr:colOff>152400</xdr:colOff>
      <xdr:row>0</xdr:row>
      <xdr:rowOff>0</xdr:rowOff>
    </xdr:to>
    <xdr:sp macro="" textlink="">
      <xdr:nvSpPr>
        <xdr:cNvPr id="1292" name="Line 2">
          <a:extLst>
            <a:ext uri="{FF2B5EF4-FFF2-40B4-BE49-F238E27FC236}">
              <a16:creationId xmlns:a16="http://schemas.microsoft.com/office/drawing/2014/main" id="{00000000-0008-0000-0200-00000C050000}"/>
            </a:ext>
          </a:extLst>
        </xdr:cNvPr>
        <xdr:cNvSpPr>
          <a:spLocks noChangeShapeType="1"/>
        </xdr:cNvSpPr>
      </xdr:nvSpPr>
      <xdr:spPr bwMode="auto">
        <a:xfrm>
          <a:off x="17221200" y="0"/>
          <a:ext cx="0" cy="0"/>
        </a:xfrm>
        <a:prstGeom prst="line">
          <a:avLst/>
        </a:prstGeom>
        <a:noFill/>
        <a:ln w="3175">
          <a:solidFill>
            <a:srgbClr val="FF0000"/>
          </a:solidFill>
          <a:round/>
          <a:headEnd/>
          <a:tailEnd type="arrow" w="med" len="med"/>
        </a:ln>
      </xdr:spPr>
    </xdr:sp>
    <xdr:clientData/>
  </xdr:twoCellAnchor>
  <xdr:twoCellAnchor>
    <xdr:from>
      <xdr:col>21</xdr:col>
      <xdr:colOff>152400</xdr:colOff>
      <xdr:row>0</xdr:row>
      <xdr:rowOff>0</xdr:rowOff>
    </xdr:from>
    <xdr:to>
      <xdr:col>21</xdr:col>
      <xdr:colOff>152400</xdr:colOff>
      <xdr:row>0</xdr:row>
      <xdr:rowOff>0</xdr:rowOff>
    </xdr:to>
    <xdr:sp macro="" textlink="">
      <xdr:nvSpPr>
        <xdr:cNvPr id="1293" name="Line 3">
          <a:extLst>
            <a:ext uri="{FF2B5EF4-FFF2-40B4-BE49-F238E27FC236}">
              <a16:creationId xmlns:a16="http://schemas.microsoft.com/office/drawing/2014/main" id="{00000000-0008-0000-0200-00000D050000}"/>
            </a:ext>
          </a:extLst>
        </xdr:cNvPr>
        <xdr:cNvSpPr>
          <a:spLocks noChangeShapeType="1"/>
        </xdr:cNvSpPr>
      </xdr:nvSpPr>
      <xdr:spPr bwMode="auto">
        <a:xfrm>
          <a:off x="17221200" y="0"/>
          <a:ext cx="0" cy="0"/>
        </a:xfrm>
        <a:prstGeom prst="line">
          <a:avLst/>
        </a:prstGeom>
        <a:noFill/>
        <a:ln w="9525">
          <a:solidFill>
            <a:srgbClr val="FF0000"/>
          </a:solidFill>
          <a:round/>
          <a:headEnd/>
          <a:tailEnd type="arrow" w="med" len="med"/>
        </a:ln>
      </xdr:spPr>
    </xdr:sp>
    <xdr:clientData/>
  </xdr:twoCellAnchor>
  <xdr:twoCellAnchor>
    <xdr:from>
      <xdr:col>21</xdr:col>
      <xdr:colOff>171450</xdr:colOff>
      <xdr:row>0</xdr:row>
      <xdr:rowOff>0</xdr:rowOff>
    </xdr:from>
    <xdr:to>
      <xdr:col>21</xdr:col>
      <xdr:colOff>171450</xdr:colOff>
      <xdr:row>0</xdr:row>
      <xdr:rowOff>0</xdr:rowOff>
    </xdr:to>
    <xdr:sp macro="" textlink="">
      <xdr:nvSpPr>
        <xdr:cNvPr id="1294" name="Line 4">
          <a:extLst>
            <a:ext uri="{FF2B5EF4-FFF2-40B4-BE49-F238E27FC236}">
              <a16:creationId xmlns:a16="http://schemas.microsoft.com/office/drawing/2014/main" id="{00000000-0008-0000-0200-00000E050000}"/>
            </a:ext>
          </a:extLst>
        </xdr:cNvPr>
        <xdr:cNvSpPr>
          <a:spLocks noChangeShapeType="1"/>
        </xdr:cNvSpPr>
      </xdr:nvSpPr>
      <xdr:spPr bwMode="auto">
        <a:xfrm>
          <a:off x="17240250" y="0"/>
          <a:ext cx="0" cy="0"/>
        </a:xfrm>
        <a:prstGeom prst="line">
          <a:avLst/>
        </a:prstGeom>
        <a:noFill/>
        <a:ln w="9525">
          <a:solidFill>
            <a:srgbClr val="FF0000"/>
          </a:solidFill>
          <a:round/>
          <a:headEnd/>
          <a:tailEnd type="arrow" w="med" len="med"/>
        </a:ln>
      </xdr:spPr>
    </xdr:sp>
    <xdr:clientData/>
  </xdr:twoCellAnchor>
  <xdr:twoCellAnchor>
    <xdr:from>
      <xdr:col>21</xdr:col>
      <xdr:colOff>190500</xdr:colOff>
      <xdr:row>0</xdr:row>
      <xdr:rowOff>0</xdr:rowOff>
    </xdr:from>
    <xdr:to>
      <xdr:col>21</xdr:col>
      <xdr:colOff>190500</xdr:colOff>
      <xdr:row>0</xdr:row>
      <xdr:rowOff>0</xdr:rowOff>
    </xdr:to>
    <xdr:sp macro="" textlink="">
      <xdr:nvSpPr>
        <xdr:cNvPr id="1295" name="Line 5">
          <a:extLst>
            <a:ext uri="{FF2B5EF4-FFF2-40B4-BE49-F238E27FC236}">
              <a16:creationId xmlns:a16="http://schemas.microsoft.com/office/drawing/2014/main" id="{00000000-0008-0000-0200-00000F050000}"/>
            </a:ext>
          </a:extLst>
        </xdr:cNvPr>
        <xdr:cNvSpPr>
          <a:spLocks noChangeShapeType="1"/>
        </xdr:cNvSpPr>
      </xdr:nvSpPr>
      <xdr:spPr bwMode="auto">
        <a:xfrm>
          <a:off x="17259300" y="0"/>
          <a:ext cx="0" cy="0"/>
        </a:xfrm>
        <a:prstGeom prst="line">
          <a:avLst/>
        </a:prstGeom>
        <a:noFill/>
        <a:ln w="9525">
          <a:solidFill>
            <a:srgbClr val="000000"/>
          </a:solidFill>
          <a:round/>
          <a:headEnd/>
          <a:tailEnd type="triangle" w="med" len="med"/>
        </a:ln>
      </xdr:spPr>
    </xdr:sp>
    <xdr:clientData/>
  </xdr:twoCellAnchor>
  <xdr:twoCellAnchor>
    <xdr:from>
      <xdr:col>21</xdr:col>
      <xdr:colOff>171450</xdr:colOff>
      <xdr:row>0</xdr:row>
      <xdr:rowOff>0</xdr:rowOff>
    </xdr:from>
    <xdr:to>
      <xdr:col>21</xdr:col>
      <xdr:colOff>171450</xdr:colOff>
      <xdr:row>0</xdr:row>
      <xdr:rowOff>0</xdr:rowOff>
    </xdr:to>
    <xdr:sp macro="" textlink="">
      <xdr:nvSpPr>
        <xdr:cNvPr id="1296" name="Line 6">
          <a:extLst>
            <a:ext uri="{FF2B5EF4-FFF2-40B4-BE49-F238E27FC236}">
              <a16:creationId xmlns:a16="http://schemas.microsoft.com/office/drawing/2014/main" id="{00000000-0008-0000-0200-000010050000}"/>
            </a:ext>
          </a:extLst>
        </xdr:cNvPr>
        <xdr:cNvSpPr>
          <a:spLocks noChangeShapeType="1"/>
        </xdr:cNvSpPr>
      </xdr:nvSpPr>
      <xdr:spPr bwMode="auto">
        <a:xfrm>
          <a:off x="17240250" y="0"/>
          <a:ext cx="0" cy="0"/>
        </a:xfrm>
        <a:prstGeom prst="line">
          <a:avLst/>
        </a:prstGeom>
        <a:noFill/>
        <a:ln w="9525">
          <a:solidFill>
            <a:srgbClr val="000000"/>
          </a:solidFill>
          <a:round/>
          <a:headEnd/>
          <a:tailEnd type="arrow" w="med" len="med"/>
        </a:ln>
      </xdr:spPr>
    </xdr:sp>
    <xdr:clientData/>
  </xdr:twoCellAnchor>
  <xdr:twoCellAnchor>
    <xdr:from>
      <xdr:col>21</xdr:col>
      <xdr:colOff>161925</xdr:colOff>
      <xdr:row>0</xdr:row>
      <xdr:rowOff>0</xdr:rowOff>
    </xdr:from>
    <xdr:to>
      <xdr:col>21</xdr:col>
      <xdr:colOff>161925</xdr:colOff>
      <xdr:row>0</xdr:row>
      <xdr:rowOff>0</xdr:rowOff>
    </xdr:to>
    <xdr:sp macro="" textlink="">
      <xdr:nvSpPr>
        <xdr:cNvPr id="1297" name="Line 7">
          <a:extLst>
            <a:ext uri="{FF2B5EF4-FFF2-40B4-BE49-F238E27FC236}">
              <a16:creationId xmlns:a16="http://schemas.microsoft.com/office/drawing/2014/main" id="{00000000-0008-0000-0200-000011050000}"/>
            </a:ext>
          </a:extLst>
        </xdr:cNvPr>
        <xdr:cNvSpPr>
          <a:spLocks noChangeShapeType="1"/>
        </xdr:cNvSpPr>
      </xdr:nvSpPr>
      <xdr:spPr bwMode="auto">
        <a:xfrm>
          <a:off x="17230725" y="0"/>
          <a:ext cx="0" cy="0"/>
        </a:xfrm>
        <a:prstGeom prst="line">
          <a:avLst/>
        </a:prstGeom>
        <a:noFill/>
        <a:ln w="9525">
          <a:solidFill>
            <a:srgbClr val="FF0000"/>
          </a:solidFill>
          <a:round/>
          <a:headEnd/>
          <a:tailEnd type="arrow" w="med" len="med"/>
        </a:ln>
      </xdr:spPr>
    </xdr:sp>
    <xdr:clientData/>
  </xdr:twoCellAnchor>
  <xdr:twoCellAnchor>
    <xdr:from>
      <xdr:col>21</xdr:col>
      <xdr:colOff>152400</xdr:colOff>
      <xdr:row>0</xdr:row>
      <xdr:rowOff>0</xdr:rowOff>
    </xdr:from>
    <xdr:to>
      <xdr:col>21</xdr:col>
      <xdr:colOff>161925</xdr:colOff>
      <xdr:row>0</xdr:row>
      <xdr:rowOff>0</xdr:rowOff>
    </xdr:to>
    <xdr:sp macro="" textlink="">
      <xdr:nvSpPr>
        <xdr:cNvPr id="1298" name="Line 8">
          <a:extLst>
            <a:ext uri="{FF2B5EF4-FFF2-40B4-BE49-F238E27FC236}">
              <a16:creationId xmlns:a16="http://schemas.microsoft.com/office/drawing/2014/main" id="{00000000-0008-0000-0200-000012050000}"/>
            </a:ext>
          </a:extLst>
        </xdr:cNvPr>
        <xdr:cNvSpPr>
          <a:spLocks noChangeShapeType="1"/>
        </xdr:cNvSpPr>
      </xdr:nvSpPr>
      <xdr:spPr bwMode="auto">
        <a:xfrm flipH="1">
          <a:off x="17221200" y="0"/>
          <a:ext cx="9525" cy="0"/>
        </a:xfrm>
        <a:prstGeom prst="line">
          <a:avLst/>
        </a:prstGeom>
        <a:noFill/>
        <a:ln w="9525">
          <a:solidFill>
            <a:srgbClr val="FF0000"/>
          </a:solidFill>
          <a:round/>
          <a:headEnd/>
          <a:tailEnd type="arrow" w="med" len="med"/>
        </a:ln>
      </xdr:spPr>
    </xdr:sp>
    <xdr:clientData/>
  </xdr:twoCellAnchor>
  <xdr:twoCellAnchor>
    <xdr:from>
      <xdr:col>21</xdr:col>
      <xdr:colOff>190500</xdr:colOff>
      <xdr:row>0</xdr:row>
      <xdr:rowOff>0</xdr:rowOff>
    </xdr:from>
    <xdr:to>
      <xdr:col>21</xdr:col>
      <xdr:colOff>190500</xdr:colOff>
      <xdr:row>0</xdr:row>
      <xdr:rowOff>0</xdr:rowOff>
    </xdr:to>
    <xdr:sp macro="" textlink="">
      <xdr:nvSpPr>
        <xdr:cNvPr id="1299" name="Line 9">
          <a:extLst>
            <a:ext uri="{FF2B5EF4-FFF2-40B4-BE49-F238E27FC236}">
              <a16:creationId xmlns:a16="http://schemas.microsoft.com/office/drawing/2014/main" id="{00000000-0008-0000-0200-000013050000}"/>
            </a:ext>
          </a:extLst>
        </xdr:cNvPr>
        <xdr:cNvSpPr>
          <a:spLocks noChangeShapeType="1"/>
        </xdr:cNvSpPr>
      </xdr:nvSpPr>
      <xdr:spPr bwMode="auto">
        <a:xfrm>
          <a:off x="17259300" y="0"/>
          <a:ext cx="0" cy="0"/>
        </a:xfrm>
        <a:prstGeom prst="line">
          <a:avLst/>
        </a:prstGeom>
        <a:noFill/>
        <a:ln w="9525">
          <a:solidFill>
            <a:srgbClr val="000000"/>
          </a:solidFill>
          <a:round/>
          <a:headEnd/>
          <a:tailEnd type="triangle" w="med" len="med"/>
        </a:ln>
      </xdr:spPr>
    </xdr:sp>
    <xdr:clientData/>
  </xdr:twoCellAnchor>
  <xdr:twoCellAnchor>
    <xdr:from>
      <xdr:col>21</xdr:col>
      <xdr:colOff>171450</xdr:colOff>
      <xdr:row>0</xdr:row>
      <xdr:rowOff>0</xdr:rowOff>
    </xdr:from>
    <xdr:to>
      <xdr:col>21</xdr:col>
      <xdr:colOff>171450</xdr:colOff>
      <xdr:row>0</xdr:row>
      <xdr:rowOff>0</xdr:rowOff>
    </xdr:to>
    <xdr:sp macro="" textlink="">
      <xdr:nvSpPr>
        <xdr:cNvPr id="1300" name="Line 10">
          <a:extLst>
            <a:ext uri="{FF2B5EF4-FFF2-40B4-BE49-F238E27FC236}">
              <a16:creationId xmlns:a16="http://schemas.microsoft.com/office/drawing/2014/main" id="{00000000-0008-0000-0200-000014050000}"/>
            </a:ext>
          </a:extLst>
        </xdr:cNvPr>
        <xdr:cNvSpPr>
          <a:spLocks noChangeShapeType="1"/>
        </xdr:cNvSpPr>
      </xdr:nvSpPr>
      <xdr:spPr bwMode="auto">
        <a:xfrm>
          <a:off x="17240250" y="0"/>
          <a:ext cx="0" cy="0"/>
        </a:xfrm>
        <a:prstGeom prst="line">
          <a:avLst/>
        </a:prstGeom>
        <a:noFill/>
        <a:ln w="9525">
          <a:solidFill>
            <a:srgbClr val="FF0000"/>
          </a:solidFill>
          <a:round/>
          <a:headEnd/>
          <a:tailEnd type="arrow" w="med" len="med"/>
        </a:ln>
      </xdr:spPr>
    </xdr:sp>
    <xdr:clientData/>
  </xdr:twoCellAnchor>
  <xdr:twoCellAnchor>
    <xdr:from>
      <xdr:col>21</xdr:col>
      <xdr:colOff>190500</xdr:colOff>
      <xdr:row>0</xdr:row>
      <xdr:rowOff>0</xdr:rowOff>
    </xdr:from>
    <xdr:to>
      <xdr:col>21</xdr:col>
      <xdr:colOff>190500</xdr:colOff>
      <xdr:row>0</xdr:row>
      <xdr:rowOff>0</xdr:rowOff>
    </xdr:to>
    <xdr:sp macro="" textlink="">
      <xdr:nvSpPr>
        <xdr:cNvPr id="1301" name="Line 11">
          <a:extLst>
            <a:ext uri="{FF2B5EF4-FFF2-40B4-BE49-F238E27FC236}">
              <a16:creationId xmlns:a16="http://schemas.microsoft.com/office/drawing/2014/main" id="{00000000-0008-0000-0200-000015050000}"/>
            </a:ext>
          </a:extLst>
        </xdr:cNvPr>
        <xdr:cNvSpPr>
          <a:spLocks noChangeShapeType="1"/>
        </xdr:cNvSpPr>
      </xdr:nvSpPr>
      <xdr:spPr bwMode="auto">
        <a:xfrm>
          <a:off x="17259300" y="0"/>
          <a:ext cx="0" cy="0"/>
        </a:xfrm>
        <a:prstGeom prst="line">
          <a:avLst/>
        </a:prstGeom>
        <a:noFill/>
        <a:ln w="9525">
          <a:solidFill>
            <a:srgbClr val="000000"/>
          </a:solidFill>
          <a:round/>
          <a:headEnd/>
          <a:tailEnd type="triangle" w="med" len="med"/>
        </a:ln>
      </xdr:spPr>
    </xdr:sp>
    <xdr:clientData/>
  </xdr:twoCellAnchor>
  <xdr:twoCellAnchor>
    <xdr:from>
      <xdr:col>21</xdr:col>
      <xdr:colOff>171450</xdr:colOff>
      <xdr:row>0</xdr:row>
      <xdr:rowOff>0</xdr:rowOff>
    </xdr:from>
    <xdr:to>
      <xdr:col>21</xdr:col>
      <xdr:colOff>171450</xdr:colOff>
      <xdr:row>0</xdr:row>
      <xdr:rowOff>0</xdr:rowOff>
    </xdr:to>
    <xdr:sp macro="" textlink="">
      <xdr:nvSpPr>
        <xdr:cNvPr id="1302" name="Line 12">
          <a:extLst>
            <a:ext uri="{FF2B5EF4-FFF2-40B4-BE49-F238E27FC236}">
              <a16:creationId xmlns:a16="http://schemas.microsoft.com/office/drawing/2014/main" id="{00000000-0008-0000-0200-000016050000}"/>
            </a:ext>
          </a:extLst>
        </xdr:cNvPr>
        <xdr:cNvSpPr>
          <a:spLocks noChangeShapeType="1"/>
        </xdr:cNvSpPr>
      </xdr:nvSpPr>
      <xdr:spPr bwMode="auto">
        <a:xfrm>
          <a:off x="17240250" y="0"/>
          <a:ext cx="0" cy="0"/>
        </a:xfrm>
        <a:prstGeom prst="line">
          <a:avLst/>
        </a:prstGeom>
        <a:noFill/>
        <a:ln w="9525">
          <a:solidFill>
            <a:srgbClr val="FF0000"/>
          </a:solidFill>
          <a:round/>
          <a:headEnd/>
          <a:tailEnd type="arrow"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22</xdr:col>
      <xdr:colOff>266700</xdr:colOff>
      <xdr:row>39</xdr:row>
      <xdr:rowOff>57150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0.00611</cdr:x>
      <cdr:y>0.24344</cdr:y>
    </cdr:from>
    <cdr:to>
      <cdr:x>0.02631</cdr:x>
      <cdr:y>0.5597</cdr:y>
    </cdr:to>
    <cdr:sp macro="" textlink="">
      <cdr:nvSpPr>
        <cdr:cNvPr id="3073" name="Rectangle 1"/>
        <cdr:cNvSpPr>
          <a:spLocks xmlns:a="http://schemas.openxmlformats.org/drawingml/2006/main" noChangeArrowheads="1"/>
        </cdr:cNvSpPr>
      </cdr:nvSpPr>
      <cdr:spPr bwMode="auto">
        <a:xfrm xmlns:a="http://schemas.openxmlformats.org/drawingml/2006/main">
          <a:off x="64157" y="1203903"/>
          <a:ext cx="212068" cy="156402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27432" tIns="0" rIns="27432" bIns="22860" anchor="ctr" upright="1"/>
        <a:lstStyle xmlns:a="http://schemas.openxmlformats.org/drawingml/2006/main"/>
        <a:p xmlns:a="http://schemas.openxmlformats.org/drawingml/2006/main">
          <a:pPr algn="l" rtl="0">
            <a:defRPr sz="1000"/>
          </a:pPr>
          <a:r>
            <a:rPr lang="en-US" sz="800" b="1" i="0" strike="noStrike">
              <a:solidFill>
                <a:srgbClr val="000000"/>
              </a:solidFill>
              <a:latin typeface="Times New Roman"/>
              <a:cs typeface="Times New Roman"/>
            </a:rPr>
            <a:t>Number of  barges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53"/>
  <sheetViews>
    <sheetView topLeftCell="A740" workbookViewId="0">
      <selection activeCell="A743" sqref="A743"/>
    </sheetView>
  </sheetViews>
  <sheetFormatPr defaultColWidth="9.140625" defaultRowHeight="12.75" x14ac:dyDescent="0.2"/>
  <cols>
    <col min="1" max="1" width="8.140625" style="42" bestFit="1" customWidth="1"/>
    <col min="2" max="2" width="26.42578125" style="42" bestFit="1" customWidth="1"/>
    <col min="3" max="3" width="24.85546875" style="42" bestFit="1" customWidth="1"/>
    <col min="4" max="4" width="26.42578125" style="42" bestFit="1" customWidth="1"/>
    <col min="5" max="5" width="23.28515625" style="42" bestFit="1" customWidth="1"/>
    <col min="6" max="6" width="27.5703125" style="42" bestFit="1" customWidth="1"/>
    <col min="7" max="7" width="18.85546875" style="42" bestFit="1" customWidth="1"/>
    <col min="8" max="8" width="36.85546875" style="42" bestFit="1" customWidth="1"/>
    <col min="9" max="9" width="40.140625" style="42" bestFit="1" customWidth="1"/>
    <col min="10" max="10" width="52.7109375" style="42" bestFit="1" customWidth="1"/>
    <col min="11" max="11" width="44.28515625" style="42" bestFit="1" customWidth="1"/>
    <col min="12" max="12" width="23.42578125" style="42" bestFit="1" customWidth="1"/>
    <col min="13" max="16384" width="9.140625" style="42"/>
  </cols>
  <sheetData>
    <row r="1" spans="1:12" x14ac:dyDescent="0.2">
      <c r="A1" s="27" t="s">
        <v>0</v>
      </c>
      <c r="B1" s="39" t="s">
        <v>1</v>
      </c>
      <c r="C1" s="40" t="s">
        <v>2</v>
      </c>
      <c r="D1" s="40" t="s">
        <v>3</v>
      </c>
      <c r="E1" s="40" t="s">
        <v>4</v>
      </c>
      <c r="F1" s="40" t="s">
        <v>5</v>
      </c>
      <c r="G1" s="40" t="s">
        <v>6</v>
      </c>
      <c r="H1" s="41" t="s">
        <v>7</v>
      </c>
      <c r="I1" s="41" t="s">
        <v>8</v>
      </c>
      <c r="J1" s="40" t="s">
        <v>9</v>
      </c>
      <c r="K1" s="40" t="s">
        <v>10</v>
      </c>
      <c r="L1" s="40" t="s">
        <v>11</v>
      </c>
    </row>
    <row r="2" spans="1:12" x14ac:dyDescent="0.2">
      <c r="A2" s="43">
        <f>Data!A7</f>
        <v>38640</v>
      </c>
      <c r="B2" s="42">
        <f>IFERROR(AVERAGE(Data!B7), "  ")</f>
        <v>267</v>
      </c>
      <c r="C2" s="42">
        <f>IFERROR(AVERAGE(Data!C7), "  ")</f>
        <v>48</v>
      </c>
      <c r="D2" s="42">
        <f>IFERROR(AVERAGE(Data!D7), "  ")</f>
        <v>95</v>
      </c>
      <c r="E2" s="42">
        <f>IFERROR(AVERAGE(Data!E7), "  ")</f>
        <v>410</v>
      </c>
      <c r="F2" s="42">
        <f>IFERROR(AVERAGE(Data!F7), "  ")</f>
        <v>765</v>
      </c>
      <c r="G2" s="42">
        <f>IFERROR(AVERAGE(Data!G7), "  ")</f>
        <v>355</v>
      </c>
      <c r="H2" s="44" t="str">
        <f>IFERROR(AVERAGE(Data!H7), "  ")</f>
        <v xml:space="preserve">  </v>
      </c>
      <c r="I2" s="44" t="str">
        <f>IFERROR(AVERAGE(Data!I7), "  ")</f>
        <v xml:space="preserve">  </v>
      </c>
      <c r="J2" s="42" t="str">
        <f>IFERROR(AVERAGE(Data!J7), "  ")</f>
        <v xml:space="preserve">  </v>
      </c>
      <c r="K2" s="44" t="str">
        <f>IFERROR(AVERAGE(Data!K7), "  ")</f>
        <v xml:space="preserve">  </v>
      </c>
      <c r="L2" s="45" t="str">
        <f>IFERROR(AVERAGE(Data!L7), "  ")</f>
        <v xml:space="preserve">  </v>
      </c>
    </row>
    <row r="3" spans="1:12" x14ac:dyDescent="0.2">
      <c r="A3" s="43">
        <f>Data!A8</f>
        <v>38647</v>
      </c>
      <c r="B3" s="42">
        <f>IFERROR(AVERAGE(Data!B8), "  ")</f>
        <v>313</v>
      </c>
      <c r="C3" s="42">
        <f>IFERROR(AVERAGE(Data!C8), "  ")</f>
        <v>27</v>
      </c>
      <c r="D3" s="42">
        <f>IFERROR(AVERAGE(Data!D8), "  ")</f>
        <v>65</v>
      </c>
      <c r="E3" s="42">
        <f>IFERROR(AVERAGE(Data!E8), "  ")</f>
        <v>405</v>
      </c>
      <c r="F3" s="42">
        <f>IFERROR(AVERAGE(Data!F8), "  ")</f>
        <v>735</v>
      </c>
      <c r="G3" s="42">
        <f>IFERROR(AVERAGE(Data!G8), "  ")</f>
        <v>330</v>
      </c>
      <c r="H3" s="44">
        <f>IFERROR(AVERAGE(Data!H8), "  ")</f>
        <v>-3.9215686274509803E-2</v>
      </c>
      <c r="I3" s="44">
        <f>IFERROR(AVERAGE(Data!I8), "  ")</f>
        <v>-1.2195121951219513E-2</v>
      </c>
      <c r="J3" s="42">
        <f>IFERROR(AVERAGE(Data!J8), "  ")</f>
        <v>-5</v>
      </c>
      <c r="K3" s="44" t="str">
        <f>IFERROR(AVERAGE(Data!K8), "  ")</f>
        <v xml:space="preserve">  </v>
      </c>
      <c r="L3" s="45" t="str">
        <f>IFERROR(AVERAGE(Data!L8), "  ")</f>
        <v xml:space="preserve">  </v>
      </c>
    </row>
    <row r="4" spans="1:12" x14ac:dyDescent="0.2">
      <c r="A4" s="43">
        <f>Data!A9</f>
        <v>38654</v>
      </c>
      <c r="B4" s="42">
        <f>IFERROR(AVERAGE(Data!B9), "  ")</f>
        <v>242</v>
      </c>
      <c r="C4" s="42">
        <f>IFERROR(AVERAGE(Data!C9), "  ")</f>
        <v>27</v>
      </c>
      <c r="D4" s="42">
        <f>IFERROR(AVERAGE(Data!D9), "  ")</f>
        <v>79</v>
      </c>
      <c r="E4" s="42">
        <f>IFERROR(AVERAGE(Data!E9), "  ")</f>
        <v>348</v>
      </c>
      <c r="F4" s="42">
        <f>IFERROR(AVERAGE(Data!F9), "  ")</f>
        <v>728</v>
      </c>
      <c r="G4" s="42">
        <f>IFERROR(AVERAGE(Data!G9), "  ")</f>
        <v>380</v>
      </c>
      <c r="H4" s="44">
        <f>IFERROR(AVERAGE(Data!H9), "  ")</f>
        <v>-9.5238095238095247E-3</v>
      </c>
      <c r="I4" s="44">
        <f>IFERROR(AVERAGE(Data!I9), "  ")</f>
        <v>-0.14074074074074075</v>
      </c>
      <c r="J4" s="42">
        <f>IFERROR(AVERAGE(Data!J9), "  ")</f>
        <v>-57</v>
      </c>
      <c r="K4" s="44" t="str">
        <f>IFERROR(AVERAGE(Data!K9), "  ")</f>
        <v xml:space="preserve">  </v>
      </c>
      <c r="L4" s="45" t="str">
        <f>IFERROR(AVERAGE(Data!L9), "  ")</f>
        <v xml:space="preserve">  </v>
      </c>
    </row>
    <row r="5" spans="1:12" x14ac:dyDescent="0.2">
      <c r="A5" s="43">
        <f>Data!A10</f>
        <v>38661</v>
      </c>
      <c r="B5" s="42">
        <f>IFERROR(AVERAGE(Data!B10), "  ")</f>
        <v>314</v>
      </c>
      <c r="C5" s="42">
        <f>IFERROR(AVERAGE(Data!C10), "  ")</f>
        <v>43</v>
      </c>
      <c r="D5" s="42">
        <f>IFERROR(AVERAGE(Data!D10), "  ")</f>
        <v>79</v>
      </c>
      <c r="E5" s="42">
        <f>IFERROR(AVERAGE(Data!E10), "  ")</f>
        <v>436</v>
      </c>
      <c r="F5" s="42">
        <f>IFERROR(AVERAGE(Data!F10), "  ")</f>
        <v>586</v>
      </c>
      <c r="G5" s="42">
        <f>IFERROR(AVERAGE(Data!G10), "  ")</f>
        <v>150</v>
      </c>
      <c r="H5" s="44">
        <f>IFERROR(AVERAGE(Data!H10), "  ")</f>
        <v>-0.19505494505494506</v>
      </c>
      <c r="I5" s="44">
        <f>IFERROR(AVERAGE(Data!I10), "  ")</f>
        <v>0.25287356321839083</v>
      </c>
      <c r="J5" s="42">
        <f>IFERROR(AVERAGE(Data!J10), "  ")</f>
        <v>88</v>
      </c>
      <c r="K5" s="44" t="str">
        <f>IFERROR(AVERAGE(Data!K10), "  ")</f>
        <v xml:space="preserve">  </v>
      </c>
      <c r="L5" s="45" t="str">
        <f>IFERROR(AVERAGE(Data!L10), "  ")</f>
        <v xml:space="preserve">  </v>
      </c>
    </row>
    <row r="6" spans="1:12" x14ac:dyDescent="0.2">
      <c r="A6" s="43">
        <f>Data!A11</f>
        <v>38668</v>
      </c>
      <c r="B6" s="42">
        <f>IFERROR(AVERAGE(Data!B11), "  ")</f>
        <v>357</v>
      </c>
      <c r="C6" s="42">
        <f>IFERROR(AVERAGE(Data!C11), "  ")</f>
        <v>18</v>
      </c>
      <c r="D6" s="42">
        <f>IFERROR(AVERAGE(Data!D11), "  ")</f>
        <v>87</v>
      </c>
      <c r="E6" s="42">
        <f>IFERROR(AVERAGE(Data!E11), "  ")</f>
        <v>462</v>
      </c>
      <c r="F6" s="42">
        <f>IFERROR(AVERAGE(Data!F11), "  ")</f>
        <v>577</v>
      </c>
      <c r="G6" s="42">
        <f>IFERROR(AVERAGE(Data!G11), "  ")</f>
        <v>115</v>
      </c>
      <c r="H6" s="44">
        <f>IFERROR(AVERAGE(Data!H11), "  ")</f>
        <v>-1.5358361774744027E-2</v>
      </c>
      <c r="I6" s="44">
        <f>IFERROR(AVERAGE(Data!I11), "  ")</f>
        <v>5.9633027522935783E-2</v>
      </c>
      <c r="J6" s="42">
        <f>IFERROR(AVERAGE(Data!J11), "  ")</f>
        <v>26</v>
      </c>
      <c r="K6" s="44" t="str">
        <f>IFERROR(AVERAGE(Data!K11), "  ")</f>
        <v xml:space="preserve">  </v>
      </c>
      <c r="L6" s="45" t="str">
        <f>IFERROR(AVERAGE(Data!L11), "  ")</f>
        <v xml:space="preserve">  </v>
      </c>
    </row>
    <row r="7" spans="1:12" x14ac:dyDescent="0.2">
      <c r="A7" s="43">
        <f>Data!A12</f>
        <v>38675</v>
      </c>
      <c r="B7" s="42">
        <f>IFERROR(AVERAGE(Data!B12), "  ")</f>
        <v>414</v>
      </c>
      <c r="C7" s="42">
        <f>IFERROR(AVERAGE(Data!C12), "  ")</f>
        <v>45</v>
      </c>
      <c r="D7" s="42">
        <f>IFERROR(AVERAGE(Data!D12), "  ")</f>
        <v>94</v>
      </c>
      <c r="E7" s="42">
        <f>IFERROR(AVERAGE(Data!E12), "  ")</f>
        <v>553</v>
      </c>
      <c r="F7" s="42">
        <f>IFERROR(AVERAGE(Data!F12), "  ")</f>
        <v>565</v>
      </c>
      <c r="G7" s="42">
        <f>IFERROR(AVERAGE(Data!G12), "  ")</f>
        <v>12</v>
      </c>
      <c r="H7" s="44">
        <f>IFERROR(AVERAGE(Data!H12), "  ")</f>
        <v>-2.0797227036395149E-2</v>
      </c>
      <c r="I7" s="44">
        <f>IFERROR(AVERAGE(Data!I12), "  ")</f>
        <v>0.19696969696969696</v>
      </c>
      <c r="J7" s="42">
        <f>IFERROR(AVERAGE(Data!J12), "  ")</f>
        <v>91</v>
      </c>
      <c r="K7" s="44" t="str">
        <f>IFERROR(AVERAGE(Data!K12), "  ")</f>
        <v xml:space="preserve">  </v>
      </c>
      <c r="L7" s="45" t="str">
        <f>IFERROR(AVERAGE(Data!L12), "  ")</f>
        <v xml:space="preserve">  </v>
      </c>
    </row>
    <row r="8" spans="1:12" x14ac:dyDescent="0.2">
      <c r="A8" s="43">
        <f>Data!A13</f>
        <v>38682</v>
      </c>
      <c r="B8" s="42">
        <f>IFERROR(AVERAGE(Data!B13), "  ")</f>
        <v>441</v>
      </c>
      <c r="C8" s="42">
        <f>IFERROR(AVERAGE(Data!C13), "  ")</f>
        <v>32</v>
      </c>
      <c r="D8" s="42">
        <f>IFERROR(AVERAGE(Data!D13), "  ")</f>
        <v>98</v>
      </c>
      <c r="E8" s="42">
        <f>IFERROR(AVERAGE(Data!E13), "  ")</f>
        <v>571</v>
      </c>
      <c r="F8" s="42">
        <f>IFERROR(AVERAGE(Data!F13), "  ")</f>
        <v>527</v>
      </c>
      <c r="G8" s="42">
        <f>IFERROR(AVERAGE(Data!G13), "  ")</f>
        <v>-44</v>
      </c>
      <c r="H8" s="44">
        <f>IFERROR(AVERAGE(Data!H13), "  ")</f>
        <v>-6.7256637168141592E-2</v>
      </c>
      <c r="I8" s="44">
        <f>IFERROR(AVERAGE(Data!I13), "  ")</f>
        <v>3.25497287522604E-2</v>
      </c>
      <c r="J8" s="42">
        <f>IFERROR(AVERAGE(Data!J13), "  ")</f>
        <v>18</v>
      </c>
      <c r="K8" s="44" t="str">
        <f>IFERROR(AVERAGE(Data!K13), "  ")</f>
        <v xml:space="preserve">  </v>
      </c>
      <c r="L8" s="45" t="str">
        <f>IFERROR(AVERAGE(Data!L13), "  ")</f>
        <v xml:space="preserve">  </v>
      </c>
    </row>
    <row r="9" spans="1:12" x14ac:dyDescent="0.2">
      <c r="A9" s="43">
        <f>Data!A14</f>
        <v>38689</v>
      </c>
      <c r="B9" s="42">
        <f>IFERROR(AVERAGE(Data!B14), "  ")</f>
        <v>412</v>
      </c>
      <c r="C9" s="42">
        <f>IFERROR(AVERAGE(Data!C14), "  ")</f>
        <v>38</v>
      </c>
      <c r="D9" s="42">
        <f>IFERROR(AVERAGE(Data!D14), "  ")</f>
        <v>79</v>
      </c>
      <c r="E9" s="42">
        <f>IFERROR(AVERAGE(Data!E14), "  ")</f>
        <v>529</v>
      </c>
      <c r="F9" s="42">
        <f>IFERROR(AVERAGE(Data!F14), "  ")</f>
        <v>621</v>
      </c>
      <c r="G9" s="42">
        <f>IFERROR(AVERAGE(Data!G14), "  ")</f>
        <v>92</v>
      </c>
      <c r="H9" s="44">
        <f>IFERROR(AVERAGE(Data!H14), "  ")</f>
        <v>0.17836812144212524</v>
      </c>
      <c r="I9" s="44">
        <f>IFERROR(AVERAGE(Data!I14), "  ")</f>
        <v>-7.3555166374781086E-2</v>
      </c>
      <c r="J9" s="42">
        <f>IFERROR(AVERAGE(Data!J14), "  ")</f>
        <v>-42</v>
      </c>
      <c r="K9" s="44" t="str">
        <f>IFERROR(AVERAGE(Data!K14), "  ")</f>
        <v xml:space="preserve">  </v>
      </c>
      <c r="L9" s="45" t="str">
        <f>IFERROR(AVERAGE(Data!L14), "  ")</f>
        <v xml:space="preserve">  </v>
      </c>
    </row>
    <row r="10" spans="1:12" x14ac:dyDescent="0.2">
      <c r="A10" s="43">
        <f>Data!A15</f>
        <v>38696</v>
      </c>
      <c r="B10" s="42">
        <f>IFERROR(AVERAGE(Data!B15), "  ")</f>
        <v>413</v>
      </c>
      <c r="C10" s="42">
        <f>IFERROR(AVERAGE(Data!C15), "  ")</f>
        <v>17</v>
      </c>
      <c r="D10" s="42">
        <f>IFERROR(AVERAGE(Data!D15), "  ")</f>
        <v>67</v>
      </c>
      <c r="E10" s="42">
        <f>IFERROR(AVERAGE(Data!E15), "  ")</f>
        <v>497</v>
      </c>
      <c r="F10" s="42">
        <f>IFERROR(AVERAGE(Data!F15), "  ")</f>
        <v>675</v>
      </c>
      <c r="G10" s="42">
        <f>IFERROR(AVERAGE(Data!G15), "  ")</f>
        <v>178</v>
      </c>
      <c r="H10" s="44">
        <f>IFERROR(AVERAGE(Data!H15), "  ")</f>
        <v>8.6956521739130432E-2</v>
      </c>
      <c r="I10" s="44">
        <f>IFERROR(AVERAGE(Data!I15), "  ")</f>
        <v>-6.0491493383742913E-2</v>
      </c>
      <c r="J10" s="42">
        <f>IFERROR(AVERAGE(Data!J15), "  ")</f>
        <v>-32</v>
      </c>
      <c r="K10" s="44" t="str">
        <f>IFERROR(AVERAGE(Data!K15), "  ")</f>
        <v xml:space="preserve">  </v>
      </c>
      <c r="L10" s="45" t="str">
        <f>IFERROR(AVERAGE(Data!L15), "  ")</f>
        <v xml:space="preserve">  </v>
      </c>
    </row>
    <row r="11" spans="1:12" x14ac:dyDescent="0.2">
      <c r="A11" s="43">
        <f>Data!A16</f>
        <v>38703</v>
      </c>
      <c r="B11" s="42">
        <f>IFERROR(AVERAGE(Data!B16), "  ")</f>
        <v>358</v>
      </c>
      <c r="C11" s="42">
        <f>IFERROR(AVERAGE(Data!C16), "  ")</f>
        <v>38</v>
      </c>
      <c r="D11" s="42">
        <f>IFERROR(AVERAGE(Data!D16), "  ")</f>
        <v>93</v>
      </c>
      <c r="E11" s="42">
        <f>IFERROR(AVERAGE(Data!E16), "  ")</f>
        <v>489</v>
      </c>
      <c r="F11" s="42">
        <f>IFERROR(AVERAGE(Data!F16), "  ")</f>
        <v>528</v>
      </c>
      <c r="G11" s="42">
        <f>IFERROR(AVERAGE(Data!G16), "  ")</f>
        <v>39</v>
      </c>
      <c r="H11" s="44">
        <f>IFERROR(AVERAGE(Data!H16), "  ")</f>
        <v>-0.21777777777777776</v>
      </c>
      <c r="I11" s="44">
        <f>IFERROR(AVERAGE(Data!I16), "  ")</f>
        <v>-1.6096579476861168E-2</v>
      </c>
      <c r="J11" s="42">
        <f>IFERROR(AVERAGE(Data!J16), "  ")</f>
        <v>-8</v>
      </c>
      <c r="K11" s="44" t="str">
        <f>IFERROR(AVERAGE(Data!K16), "  ")</f>
        <v xml:space="preserve">  </v>
      </c>
      <c r="L11" s="45" t="str">
        <f>IFERROR(AVERAGE(Data!L16), "  ")</f>
        <v xml:space="preserve">  </v>
      </c>
    </row>
    <row r="12" spans="1:12" x14ac:dyDescent="0.2">
      <c r="A12" s="43">
        <f>Data!A17</f>
        <v>38710</v>
      </c>
      <c r="B12" s="42">
        <f>IFERROR(AVERAGE(Data!B17), "  ")</f>
        <v>211</v>
      </c>
      <c r="C12" s="42">
        <f>IFERROR(AVERAGE(Data!C17), "  ")</f>
        <v>25</v>
      </c>
      <c r="D12" s="42">
        <f>IFERROR(AVERAGE(Data!D17), "  ")</f>
        <v>148</v>
      </c>
      <c r="E12" s="42">
        <f>IFERROR(AVERAGE(Data!E17), "  ")</f>
        <v>384</v>
      </c>
      <c r="F12" s="42">
        <f>IFERROR(AVERAGE(Data!F17), "  ")</f>
        <v>436</v>
      </c>
      <c r="G12" s="42">
        <f>IFERROR(AVERAGE(Data!G17), "  ")</f>
        <v>52</v>
      </c>
      <c r="H12" s="44">
        <f>IFERROR(AVERAGE(Data!H17), "  ")</f>
        <v>-0.17424242424242425</v>
      </c>
      <c r="I12" s="44">
        <f>IFERROR(AVERAGE(Data!I17), "  ")</f>
        <v>-0.21472392638036811</v>
      </c>
      <c r="J12" s="42">
        <f>IFERROR(AVERAGE(Data!J17), "  ")</f>
        <v>-105</v>
      </c>
      <c r="K12" s="44" t="str">
        <f>IFERROR(AVERAGE(Data!K17), "  ")</f>
        <v xml:space="preserve">  </v>
      </c>
      <c r="L12" s="45" t="str">
        <f>IFERROR(AVERAGE(Data!L17), "  ")</f>
        <v xml:space="preserve">  </v>
      </c>
    </row>
    <row r="13" spans="1:12" x14ac:dyDescent="0.2">
      <c r="A13" s="43">
        <f>Data!A18</f>
        <v>38717</v>
      </c>
      <c r="B13" s="42">
        <f>IFERROR(AVERAGE(Data!B18), "  ")</f>
        <v>262</v>
      </c>
      <c r="C13" s="42">
        <f>IFERROR(AVERAGE(Data!C18), "  ")</f>
        <v>36</v>
      </c>
      <c r="D13" s="42">
        <f>IFERROR(AVERAGE(Data!D18), "  ")</f>
        <v>156</v>
      </c>
      <c r="E13" s="42">
        <f>IFERROR(AVERAGE(Data!E18), "  ")</f>
        <v>454</v>
      </c>
      <c r="F13" s="42">
        <f>IFERROR(AVERAGE(Data!F18), "  ")</f>
        <v>510</v>
      </c>
      <c r="G13" s="42">
        <f>IFERROR(AVERAGE(Data!G18), "  ")</f>
        <v>56</v>
      </c>
      <c r="H13" s="44">
        <f>IFERROR(AVERAGE(Data!H18), "  ")</f>
        <v>0.16972477064220184</v>
      </c>
      <c r="I13" s="44">
        <f>IFERROR(AVERAGE(Data!I18), "  ")</f>
        <v>0.18229166666666666</v>
      </c>
      <c r="J13" s="42">
        <f>IFERROR(AVERAGE(Data!J18), "  ")</f>
        <v>70</v>
      </c>
      <c r="K13" s="44" t="str">
        <f>IFERROR(AVERAGE(Data!K18), "  ")</f>
        <v xml:space="preserve">  </v>
      </c>
      <c r="L13" s="45" t="str">
        <f>IFERROR(AVERAGE(Data!L18), "  ")</f>
        <v xml:space="preserve">  </v>
      </c>
    </row>
    <row r="14" spans="1:12" x14ac:dyDescent="0.2">
      <c r="A14" s="43">
        <f>Data!A19</f>
        <v>38724</v>
      </c>
      <c r="B14" s="42">
        <f>IFERROR(AVERAGE(Data!B19), "  ")</f>
        <v>190</v>
      </c>
      <c r="C14" s="42">
        <f>IFERROR(AVERAGE(Data!C19), "  ")</f>
        <v>30</v>
      </c>
      <c r="D14" s="42">
        <f>IFERROR(AVERAGE(Data!D19), "  ")</f>
        <v>172</v>
      </c>
      <c r="E14" s="42">
        <f>IFERROR(AVERAGE(Data!E19), "  ")</f>
        <v>392</v>
      </c>
      <c r="F14" s="42">
        <f>IFERROR(AVERAGE(Data!F19), "  ")</f>
        <v>640</v>
      </c>
      <c r="G14" s="42">
        <f>IFERROR(AVERAGE(Data!G19), "  ")</f>
        <v>248</v>
      </c>
      <c r="H14" s="44">
        <f>IFERROR(AVERAGE(Data!H19), "  ")</f>
        <v>0.25490196078431371</v>
      </c>
      <c r="I14" s="44">
        <f>IFERROR(AVERAGE(Data!I19), "  ")</f>
        <v>-0.13656387665198239</v>
      </c>
      <c r="J14" s="42">
        <f>IFERROR(AVERAGE(Data!J19), "  ")</f>
        <v>-62</v>
      </c>
      <c r="K14" s="44" t="str">
        <f>IFERROR(AVERAGE(Data!K19), "  ")</f>
        <v xml:space="preserve">  </v>
      </c>
      <c r="L14" s="45" t="str">
        <f>IFERROR(AVERAGE(Data!L19), "  ")</f>
        <v xml:space="preserve">  </v>
      </c>
    </row>
    <row r="15" spans="1:12" x14ac:dyDescent="0.2">
      <c r="A15" s="43">
        <f>Data!A20</f>
        <v>38731</v>
      </c>
      <c r="B15" s="42">
        <f>IFERROR(AVERAGE(Data!B20), "  ")</f>
        <v>166</v>
      </c>
      <c r="C15" s="42">
        <f>IFERROR(AVERAGE(Data!C20), "  ")</f>
        <v>42</v>
      </c>
      <c r="D15" s="42">
        <f>IFERROR(AVERAGE(Data!D20), "  ")</f>
        <v>165</v>
      </c>
      <c r="E15" s="42">
        <f>IFERROR(AVERAGE(Data!E20), "  ")</f>
        <v>373</v>
      </c>
      <c r="F15" s="42">
        <f>IFERROR(AVERAGE(Data!F20), "  ")</f>
        <v>719</v>
      </c>
      <c r="G15" s="42">
        <f>IFERROR(AVERAGE(Data!G20), "  ")</f>
        <v>346</v>
      </c>
      <c r="H15" s="44">
        <f>IFERROR(AVERAGE(Data!H20), "  ")</f>
        <v>0.12343750000000001</v>
      </c>
      <c r="I15" s="44">
        <f>IFERROR(AVERAGE(Data!I20), "  ")</f>
        <v>-4.8469387755102039E-2</v>
      </c>
      <c r="J15" s="42">
        <f>IFERROR(AVERAGE(Data!J20), "  ")</f>
        <v>-19</v>
      </c>
      <c r="K15" s="44" t="str">
        <f>IFERROR(AVERAGE(Data!K20), "  ")</f>
        <v xml:space="preserve">  </v>
      </c>
      <c r="L15" s="45" t="str">
        <f>IFERROR(AVERAGE(Data!L20), "  ")</f>
        <v xml:space="preserve">  </v>
      </c>
    </row>
    <row r="16" spans="1:12" x14ac:dyDescent="0.2">
      <c r="A16" s="43">
        <f>Data!A21</f>
        <v>38738</v>
      </c>
      <c r="B16" s="42">
        <f>IFERROR(AVERAGE(Data!B21), "  ")</f>
        <v>151</v>
      </c>
      <c r="C16" s="42">
        <f>IFERROR(AVERAGE(Data!C21), "  ")</f>
        <v>14</v>
      </c>
      <c r="D16" s="42">
        <f>IFERROR(AVERAGE(Data!D21), "  ")</f>
        <v>155</v>
      </c>
      <c r="E16" s="42">
        <f>IFERROR(AVERAGE(Data!E21), "  ")</f>
        <v>320</v>
      </c>
      <c r="F16" s="42">
        <f>IFERROR(AVERAGE(Data!F21), "  ")</f>
        <v>590</v>
      </c>
      <c r="G16" s="42">
        <f>IFERROR(AVERAGE(Data!G21), "  ")</f>
        <v>270</v>
      </c>
      <c r="H16" s="44">
        <f>IFERROR(AVERAGE(Data!H21), "  ")</f>
        <v>-0.17941585535465926</v>
      </c>
      <c r="I16" s="44">
        <f>IFERROR(AVERAGE(Data!I21), "  ")</f>
        <v>-0.14209115281501342</v>
      </c>
      <c r="J16" s="42">
        <f>IFERROR(AVERAGE(Data!J21), "  ")</f>
        <v>-53</v>
      </c>
      <c r="K16" s="44" t="str">
        <f>IFERROR(AVERAGE(Data!K21), "  ")</f>
        <v xml:space="preserve">  </v>
      </c>
      <c r="L16" s="45" t="str">
        <f>IFERROR(AVERAGE(Data!L21), "  ")</f>
        <v xml:space="preserve">  </v>
      </c>
    </row>
    <row r="17" spans="1:12" x14ac:dyDescent="0.2">
      <c r="A17" s="43">
        <f>Data!A22</f>
        <v>38745</v>
      </c>
      <c r="B17" s="42">
        <f>IFERROR(AVERAGE(Data!B22), "  ")</f>
        <v>204</v>
      </c>
      <c r="C17" s="42">
        <f>IFERROR(AVERAGE(Data!C22), "  ")</f>
        <v>35</v>
      </c>
      <c r="D17" s="42">
        <f>IFERROR(AVERAGE(Data!D22), "  ")</f>
        <v>136</v>
      </c>
      <c r="E17" s="42">
        <f>IFERROR(AVERAGE(Data!E22), "  ")</f>
        <v>375</v>
      </c>
      <c r="F17" s="42">
        <f>IFERROR(AVERAGE(Data!F22), "  ")</f>
        <v>748</v>
      </c>
      <c r="G17" s="42">
        <f>IFERROR(AVERAGE(Data!G22), "  ")</f>
        <v>373</v>
      </c>
      <c r="H17" s="44">
        <f>IFERROR(AVERAGE(Data!H22), "  ")</f>
        <v>0.26779661016949152</v>
      </c>
      <c r="I17" s="44">
        <f>IFERROR(AVERAGE(Data!I22), "  ")</f>
        <v>0.171875</v>
      </c>
      <c r="J17" s="42">
        <f>IFERROR(AVERAGE(Data!J22), "  ")</f>
        <v>55</v>
      </c>
      <c r="K17" s="44" t="str">
        <f>IFERROR(AVERAGE(Data!K22), "  ")</f>
        <v xml:space="preserve">  </v>
      </c>
      <c r="L17" s="45" t="str">
        <f>IFERROR(AVERAGE(Data!L22), "  ")</f>
        <v xml:space="preserve">  </v>
      </c>
    </row>
    <row r="18" spans="1:12" x14ac:dyDescent="0.2">
      <c r="A18" s="43">
        <f>Data!A23</f>
        <v>38752</v>
      </c>
      <c r="B18" s="42">
        <f>IFERROR(AVERAGE(Data!B23), "  ")</f>
        <v>210</v>
      </c>
      <c r="C18" s="42">
        <f>IFERROR(AVERAGE(Data!C23), "  ")</f>
        <v>38</v>
      </c>
      <c r="D18" s="42">
        <f>IFERROR(AVERAGE(Data!D23), "  ")</f>
        <v>162</v>
      </c>
      <c r="E18" s="42">
        <f>IFERROR(AVERAGE(Data!E23), "  ")</f>
        <v>410</v>
      </c>
      <c r="F18" s="42">
        <f>IFERROR(AVERAGE(Data!F23), "  ")</f>
        <v>690</v>
      </c>
      <c r="G18" s="42">
        <f>IFERROR(AVERAGE(Data!G23), "  ")</f>
        <v>280</v>
      </c>
      <c r="H18" s="44">
        <f>IFERROR(AVERAGE(Data!H23), "  ")</f>
        <v>-7.7540106951871662E-2</v>
      </c>
      <c r="I18" s="44">
        <f>IFERROR(AVERAGE(Data!I23), "  ")</f>
        <v>9.3333333333333338E-2</v>
      </c>
      <c r="J18" s="42">
        <f>IFERROR(AVERAGE(Data!J23), "  ")</f>
        <v>35</v>
      </c>
      <c r="K18" s="44" t="str">
        <f>IFERROR(AVERAGE(Data!K23), "  ")</f>
        <v xml:space="preserve">  </v>
      </c>
      <c r="L18" s="45" t="str">
        <f>IFERROR(AVERAGE(Data!L23), "  ")</f>
        <v xml:space="preserve">  </v>
      </c>
    </row>
    <row r="19" spans="1:12" x14ac:dyDescent="0.2">
      <c r="A19" s="43">
        <f>Data!A24</f>
        <v>38759</v>
      </c>
      <c r="B19" s="42">
        <f>IFERROR(AVERAGE(Data!B24), "  ")</f>
        <v>232</v>
      </c>
      <c r="C19" s="42">
        <f>IFERROR(AVERAGE(Data!C24), "  ")</f>
        <v>50</v>
      </c>
      <c r="D19" s="42">
        <f>IFERROR(AVERAGE(Data!D24), "  ")</f>
        <v>175</v>
      </c>
      <c r="E19" s="42">
        <f>IFERROR(AVERAGE(Data!E24), "  ")</f>
        <v>457</v>
      </c>
      <c r="F19" s="42">
        <f>IFERROR(AVERAGE(Data!F24), "  ")</f>
        <v>693</v>
      </c>
      <c r="G19" s="42">
        <f>IFERROR(AVERAGE(Data!G24), "  ")</f>
        <v>236</v>
      </c>
      <c r="H19" s="44">
        <f>IFERROR(AVERAGE(Data!H24), "  ")</f>
        <v>4.3478260869565218E-3</v>
      </c>
      <c r="I19" s="44">
        <f>IFERROR(AVERAGE(Data!I24), "  ")</f>
        <v>0.11463414634146342</v>
      </c>
      <c r="J19" s="42">
        <f>IFERROR(AVERAGE(Data!J24), "  ")</f>
        <v>47</v>
      </c>
      <c r="K19" s="44" t="str">
        <f>IFERROR(AVERAGE(Data!K24), "  ")</f>
        <v xml:space="preserve">  </v>
      </c>
      <c r="L19" s="45" t="str">
        <f>IFERROR(AVERAGE(Data!L24), "  ")</f>
        <v xml:space="preserve">  </v>
      </c>
    </row>
    <row r="20" spans="1:12" x14ac:dyDescent="0.2">
      <c r="A20" s="43">
        <f>Data!A25</f>
        <v>38766</v>
      </c>
      <c r="B20" s="42">
        <f>IFERROR(AVERAGE(Data!B25), "  ")</f>
        <v>203</v>
      </c>
      <c r="C20" s="42">
        <f>IFERROR(AVERAGE(Data!C25), "  ")</f>
        <v>34</v>
      </c>
      <c r="D20" s="42">
        <f>IFERROR(AVERAGE(Data!D25), "  ")</f>
        <v>116</v>
      </c>
      <c r="E20" s="42">
        <f>IFERROR(AVERAGE(Data!E25), "  ")</f>
        <v>353</v>
      </c>
      <c r="F20" s="42">
        <f>IFERROR(AVERAGE(Data!F25), "  ")</f>
        <v>645</v>
      </c>
      <c r="G20" s="42">
        <f>IFERROR(AVERAGE(Data!G25), "  ")</f>
        <v>292</v>
      </c>
      <c r="H20" s="44">
        <f>IFERROR(AVERAGE(Data!H25), "  ")</f>
        <v>-6.9264069264069264E-2</v>
      </c>
      <c r="I20" s="44">
        <f>IFERROR(AVERAGE(Data!I25), "  ")</f>
        <v>-0.2275711159737418</v>
      </c>
      <c r="J20" s="42">
        <f>IFERROR(AVERAGE(Data!J25), "  ")</f>
        <v>-104</v>
      </c>
      <c r="K20" s="44" t="str">
        <f>IFERROR(AVERAGE(Data!K25), "  ")</f>
        <v xml:space="preserve">  </v>
      </c>
      <c r="L20" s="45" t="str">
        <f>IFERROR(AVERAGE(Data!L25), "  ")</f>
        <v xml:space="preserve">  </v>
      </c>
    </row>
    <row r="21" spans="1:12" x14ac:dyDescent="0.2">
      <c r="A21" s="43">
        <f>Data!A26</f>
        <v>38773</v>
      </c>
      <c r="B21" s="42">
        <f>IFERROR(AVERAGE(Data!B26), "  ")</f>
        <v>174</v>
      </c>
      <c r="C21" s="42">
        <f>IFERROR(AVERAGE(Data!C26), "  ")</f>
        <v>55</v>
      </c>
      <c r="D21" s="42">
        <f>IFERROR(AVERAGE(Data!D26), "  ")</f>
        <v>152</v>
      </c>
      <c r="E21" s="42">
        <f>IFERROR(AVERAGE(Data!E26), "  ")</f>
        <v>381</v>
      </c>
      <c r="F21" s="42">
        <f>IFERROR(AVERAGE(Data!F26), "  ")</f>
        <v>559</v>
      </c>
      <c r="G21" s="42">
        <f>IFERROR(AVERAGE(Data!G26), "  ")</f>
        <v>178</v>
      </c>
      <c r="H21" s="44">
        <f>IFERROR(AVERAGE(Data!H26), "  ")</f>
        <v>-0.13333333333333333</v>
      </c>
      <c r="I21" s="44">
        <f>IFERROR(AVERAGE(Data!I26), "  ")</f>
        <v>7.9320113314447591E-2</v>
      </c>
      <c r="J21" s="42">
        <f>IFERROR(AVERAGE(Data!J26), "  ")</f>
        <v>28</v>
      </c>
      <c r="K21" s="44" t="str">
        <f>IFERROR(AVERAGE(Data!K26), "  ")</f>
        <v xml:space="preserve">  </v>
      </c>
      <c r="L21" s="45" t="str">
        <f>IFERROR(AVERAGE(Data!L26), "  ")</f>
        <v xml:space="preserve">  </v>
      </c>
    </row>
    <row r="22" spans="1:12" x14ac:dyDescent="0.2">
      <c r="A22" s="43">
        <f>Data!A27</f>
        <v>38780</v>
      </c>
      <c r="B22" s="42">
        <f>IFERROR(AVERAGE(Data!B27), "  ")</f>
        <v>191</v>
      </c>
      <c r="C22" s="42">
        <f>IFERROR(AVERAGE(Data!C27), "  ")</f>
        <v>39</v>
      </c>
      <c r="D22" s="42">
        <f>IFERROR(AVERAGE(Data!D27), "  ")</f>
        <v>112</v>
      </c>
      <c r="E22" s="42">
        <f>IFERROR(AVERAGE(Data!E27), "  ")</f>
        <v>342</v>
      </c>
      <c r="F22" s="42">
        <f>IFERROR(AVERAGE(Data!F27), "  ")</f>
        <v>639</v>
      </c>
      <c r="G22" s="42">
        <f>IFERROR(AVERAGE(Data!G27), "  ")</f>
        <v>297</v>
      </c>
      <c r="H22" s="44">
        <f>IFERROR(AVERAGE(Data!H27), "  ")</f>
        <v>0.14311270125223613</v>
      </c>
      <c r="I22" s="44">
        <f>IFERROR(AVERAGE(Data!I27), "  ")</f>
        <v>-0.10236220472440945</v>
      </c>
      <c r="J22" s="42">
        <f>IFERROR(AVERAGE(Data!J27), "  ")</f>
        <v>-39</v>
      </c>
      <c r="K22" s="44" t="str">
        <f>IFERROR(AVERAGE(Data!K27), "  ")</f>
        <v xml:space="preserve">  </v>
      </c>
      <c r="L22" s="45" t="str">
        <f>IFERROR(AVERAGE(Data!L27), "  ")</f>
        <v xml:space="preserve">  </v>
      </c>
    </row>
    <row r="23" spans="1:12" x14ac:dyDescent="0.2">
      <c r="A23" s="43">
        <f>Data!A28</f>
        <v>38787</v>
      </c>
      <c r="B23" s="42">
        <f>IFERROR(AVERAGE(Data!B28), "  ")</f>
        <v>241</v>
      </c>
      <c r="C23" s="42">
        <f>IFERROR(AVERAGE(Data!C28), "  ")</f>
        <v>49</v>
      </c>
      <c r="D23" s="42">
        <f>IFERROR(AVERAGE(Data!D28), "  ")</f>
        <v>163</v>
      </c>
      <c r="E23" s="42">
        <f>IFERROR(AVERAGE(Data!E28), "  ")</f>
        <v>453</v>
      </c>
      <c r="F23" s="42">
        <f>IFERROR(AVERAGE(Data!F28), "  ")</f>
        <v>637</v>
      </c>
      <c r="G23" s="42">
        <f>IFERROR(AVERAGE(Data!G28), "  ")</f>
        <v>184</v>
      </c>
      <c r="H23" s="44">
        <f>IFERROR(AVERAGE(Data!H28), "  ")</f>
        <v>-3.1298904538341159E-3</v>
      </c>
      <c r="I23" s="44">
        <f>IFERROR(AVERAGE(Data!I28), "  ")</f>
        <v>0.32456140350877194</v>
      </c>
      <c r="J23" s="42">
        <f>IFERROR(AVERAGE(Data!J28), "  ")</f>
        <v>111</v>
      </c>
      <c r="K23" s="44" t="str">
        <f>IFERROR(AVERAGE(Data!K28), "  ")</f>
        <v xml:space="preserve">  </v>
      </c>
      <c r="L23" s="45" t="str">
        <f>IFERROR(AVERAGE(Data!L28), "  ")</f>
        <v xml:space="preserve">  </v>
      </c>
    </row>
    <row r="24" spans="1:12" x14ac:dyDescent="0.2">
      <c r="A24" s="43">
        <f>Data!A29</f>
        <v>38794</v>
      </c>
      <c r="B24" s="42">
        <f>IFERROR(AVERAGE(Data!B29), "  ")</f>
        <v>148</v>
      </c>
      <c r="C24" s="42">
        <f>IFERROR(AVERAGE(Data!C29), "  ")</f>
        <v>37</v>
      </c>
      <c r="D24" s="42">
        <f>IFERROR(AVERAGE(Data!D29), "  ")</f>
        <v>119</v>
      </c>
      <c r="E24" s="42">
        <f>IFERROR(AVERAGE(Data!E29), "  ")</f>
        <v>304</v>
      </c>
      <c r="F24" s="42">
        <f>IFERROR(AVERAGE(Data!F29), "  ")</f>
        <v>567</v>
      </c>
      <c r="G24" s="42">
        <f>IFERROR(AVERAGE(Data!G29), "  ")</f>
        <v>263</v>
      </c>
      <c r="H24" s="44">
        <f>IFERROR(AVERAGE(Data!H29), "  ")</f>
        <v>-0.10989010989010989</v>
      </c>
      <c r="I24" s="44">
        <f>IFERROR(AVERAGE(Data!I29), "  ")</f>
        <v>-0.32891832229580575</v>
      </c>
      <c r="J24" s="42">
        <f>IFERROR(AVERAGE(Data!J29), "  ")</f>
        <v>-149</v>
      </c>
      <c r="K24" s="44" t="str">
        <f>IFERROR(AVERAGE(Data!K29), "  ")</f>
        <v xml:space="preserve">  </v>
      </c>
      <c r="L24" s="45" t="str">
        <f>IFERROR(AVERAGE(Data!L29), "  ")</f>
        <v xml:space="preserve">  </v>
      </c>
    </row>
    <row r="25" spans="1:12" x14ac:dyDescent="0.2">
      <c r="A25" s="43">
        <f>Data!A30</f>
        <v>38801</v>
      </c>
      <c r="B25" s="42">
        <f>IFERROR(AVERAGE(Data!B30), "  ")</f>
        <v>164</v>
      </c>
      <c r="C25" s="42">
        <f>IFERROR(AVERAGE(Data!C30), "  ")</f>
        <v>48</v>
      </c>
      <c r="D25" s="42">
        <f>IFERROR(AVERAGE(Data!D30), "  ")</f>
        <v>94</v>
      </c>
      <c r="E25" s="42">
        <f>IFERROR(AVERAGE(Data!E30), "  ")</f>
        <v>306</v>
      </c>
      <c r="F25" s="42">
        <f>IFERROR(AVERAGE(Data!F30), "  ")</f>
        <v>450</v>
      </c>
      <c r="G25" s="42">
        <f>IFERROR(AVERAGE(Data!G30), "  ")</f>
        <v>144</v>
      </c>
      <c r="H25" s="44">
        <f>IFERROR(AVERAGE(Data!H30), "  ")</f>
        <v>-0.20634920634920634</v>
      </c>
      <c r="I25" s="44">
        <f>IFERROR(AVERAGE(Data!I30), "  ")</f>
        <v>6.5789473684210523E-3</v>
      </c>
      <c r="J25" s="42">
        <f>IFERROR(AVERAGE(Data!J30), "  ")</f>
        <v>2</v>
      </c>
      <c r="K25" s="44" t="str">
        <f>IFERROR(AVERAGE(Data!K30), "  ")</f>
        <v xml:space="preserve">  </v>
      </c>
      <c r="L25" s="45" t="str">
        <f>IFERROR(AVERAGE(Data!L30), "  ")</f>
        <v xml:space="preserve">  </v>
      </c>
    </row>
    <row r="26" spans="1:12" x14ac:dyDescent="0.2">
      <c r="A26" s="43">
        <f>Data!A31</f>
        <v>38808</v>
      </c>
      <c r="B26" s="42">
        <f>IFERROR(AVERAGE(Data!B31), "  ")</f>
        <v>348</v>
      </c>
      <c r="C26" s="42">
        <f>IFERROR(AVERAGE(Data!C31), "  ")</f>
        <v>22</v>
      </c>
      <c r="D26" s="42">
        <f>IFERROR(AVERAGE(Data!D31), "  ")</f>
        <v>87</v>
      </c>
      <c r="E26" s="42">
        <f>IFERROR(AVERAGE(Data!E31), "  ")</f>
        <v>457</v>
      </c>
      <c r="F26" s="42">
        <f>IFERROR(AVERAGE(Data!F31), "  ")</f>
        <v>269</v>
      </c>
      <c r="G26" s="42">
        <f>IFERROR(AVERAGE(Data!G31), "  ")</f>
        <v>-188</v>
      </c>
      <c r="H26" s="44">
        <f>IFERROR(AVERAGE(Data!H31), "  ")</f>
        <v>-0.4022222222222222</v>
      </c>
      <c r="I26" s="44">
        <f>IFERROR(AVERAGE(Data!I31), "  ")</f>
        <v>0.49346405228758172</v>
      </c>
      <c r="J26" s="42">
        <f>IFERROR(AVERAGE(Data!J31), "  ")</f>
        <v>151</v>
      </c>
      <c r="K26" s="44" t="str">
        <f>IFERROR(AVERAGE(Data!K31), "  ")</f>
        <v xml:space="preserve">  </v>
      </c>
      <c r="L26" s="45" t="str">
        <f>IFERROR(AVERAGE(Data!L31), "  ")</f>
        <v xml:space="preserve">  </v>
      </c>
    </row>
    <row r="27" spans="1:12" x14ac:dyDescent="0.2">
      <c r="A27" s="43">
        <f>Data!A32</f>
        <v>38815</v>
      </c>
      <c r="B27" s="42">
        <f>IFERROR(AVERAGE(Data!B32), "  ")</f>
        <v>290</v>
      </c>
      <c r="C27" s="42">
        <f>IFERROR(AVERAGE(Data!C32), "  ")</f>
        <v>31</v>
      </c>
      <c r="D27" s="42">
        <f>IFERROR(AVERAGE(Data!D32), "  ")</f>
        <v>94</v>
      </c>
      <c r="E27" s="42">
        <f>IFERROR(AVERAGE(Data!E32), "  ")</f>
        <v>415</v>
      </c>
      <c r="F27" s="42">
        <f>IFERROR(AVERAGE(Data!F32), "  ")</f>
        <v>365</v>
      </c>
      <c r="G27" s="42">
        <f>IFERROR(AVERAGE(Data!G32), "  ")</f>
        <v>-50</v>
      </c>
      <c r="H27" s="44">
        <f>IFERROR(AVERAGE(Data!H32), "  ")</f>
        <v>0.35687732342007433</v>
      </c>
      <c r="I27" s="44">
        <f>IFERROR(AVERAGE(Data!I32), "  ")</f>
        <v>-9.1903719912472648E-2</v>
      </c>
      <c r="J27" s="42">
        <f>IFERROR(AVERAGE(Data!J32), "  ")</f>
        <v>-42</v>
      </c>
      <c r="K27" s="44" t="str">
        <f>IFERROR(AVERAGE(Data!K32), "  ")</f>
        <v xml:space="preserve">  </v>
      </c>
      <c r="L27" s="45" t="str">
        <f>IFERROR(AVERAGE(Data!L32), "  ")</f>
        <v xml:space="preserve">  </v>
      </c>
    </row>
    <row r="28" spans="1:12" x14ac:dyDescent="0.2">
      <c r="A28" s="43">
        <f>Data!A33</f>
        <v>38822</v>
      </c>
      <c r="B28" s="42">
        <f>IFERROR(AVERAGE(Data!B33), "  ")</f>
        <v>387</v>
      </c>
      <c r="C28" s="42">
        <f>IFERROR(AVERAGE(Data!C33), "  ")</f>
        <v>21</v>
      </c>
      <c r="D28" s="42">
        <f>IFERROR(AVERAGE(Data!D33), "  ")</f>
        <v>78</v>
      </c>
      <c r="E28" s="42">
        <f>IFERROR(AVERAGE(Data!E33), "  ")</f>
        <v>486</v>
      </c>
      <c r="F28" s="42">
        <f>IFERROR(AVERAGE(Data!F33), "  ")</f>
        <v>467</v>
      </c>
      <c r="G28" s="42">
        <f>IFERROR(AVERAGE(Data!G33), "  ")</f>
        <v>-19</v>
      </c>
      <c r="H28" s="44">
        <f>IFERROR(AVERAGE(Data!H33), "  ")</f>
        <v>0.27945205479452057</v>
      </c>
      <c r="I28" s="44">
        <f>IFERROR(AVERAGE(Data!I33), "  ")</f>
        <v>0.1710843373493976</v>
      </c>
      <c r="J28" s="42">
        <f>IFERROR(AVERAGE(Data!J33), "  ")</f>
        <v>71</v>
      </c>
      <c r="K28" s="44" t="str">
        <f>IFERROR(AVERAGE(Data!K33), "  ")</f>
        <v xml:space="preserve">  </v>
      </c>
      <c r="L28" s="45" t="str">
        <f>IFERROR(AVERAGE(Data!L33), "  ")</f>
        <v xml:space="preserve">  </v>
      </c>
    </row>
    <row r="29" spans="1:12" x14ac:dyDescent="0.2">
      <c r="A29" s="43">
        <f>Data!A34</f>
        <v>38829</v>
      </c>
      <c r="B29" s="42">
        <f>IFERROR(AVERAGE(Data!B34), "  ")</f>
        <v>334</v>
      </c>
      <c r="C29" s="42">
        <f>IFERROR(AVERAGE(Data!C34), "  ")</f>
        <v>30</v>
      </c>
      <c r="D29" s="42">
        <f>IFERROR(AVERAGE(Data!D34), "  ")</f>
        <v>57</v>
      </c>
      <c r="E29" s="42">
        <f>IFERROR(AVERAGE(Data!E34), "  ")</f>
        <v>421</v>
      </c>
      <c r="F29" s="42">
        <f>IFERROR(AVERAGE(Data!F34), "  ")</f>
        <v>583</v>
      </c>
      <c r="G29" s="42">
        <f>IFERROR(AVERAGE(Data!G34), "  ")</f>
        <v>162</v>
      </c>
      <c r="H29" s="44">
        <f>IFERROR(AVERAGE(Data!H34), "  ")</f>
        <v>0.24839400428265523</v>
      </c>
      <c r="I29" s="44">
        <f>IFERROR(AVERAGE(Data!I34), "  ")</f>
        <v>-0.13374485596707819</v>
      </c>
      <c r="J29" s="42">
        <f>IFERROR(AVERAGE(Data!J34), "  ")</f>
        <v>-65</v>
      </c>
      <c r="K29" s="44" t="str">
        <f>IFERROR(AVERAGE(Data!K34), "  ")</f>
        <v xml:space="preserve">  </v>
      </c>
      <c r="L29" s="45" t="str">
        <f>IFERROR(AVERAGE(Data!L34), "  ")</f>
        <v xml:space="preserve">  </v>
      </c>
    </row>
    <row r="30" spans="1:12" x14ac:dyDescent="0.2">
      <c r="A30" s="43">
        <f>Data!A35</f>
        <v>38836</v>
      </c>
      <c r="B30" s="42">
        <f>IFERROR(AVERAGE(Data!B35), "  ")</f>
        <v>374</v>
      </c>
      <c r="C30" s="42">
        <f>IFERROR(AVERAGE(Data!C35), "  ")</f>
        <v>20</v>
      </c>
      <c r="D30" s="42">
        <f>IFERROR(AVERAGE(Data!D35), "  ")</f>
        <v>47</v>
      </c>
      <c r="E30" s="42">
        <f>IFERROR(AVERAGE(Data!E35), "  ")</f>
        <v>441</v>
      </c>
      <c r="F30" s="42">
        <f>IFERROR(AVERAGE(Data!F35), "  ")</f>
        <v>420</v>
      </c>
      <c r="G30" s="42">
        <f>IFERROR(AVERAGE(Data!G35), "  ")</f>
        <v>-21</v>
      </c>
      <c r="H30" s="44">
        <f>IFERROR(AVERAGE(Data!H35), "  ")</f>
        <v>-0.27958833619210977</v>
      </c>
      <c r="I30" s="44">
        <f>IFERROR(AVERAGE(Data!I35), "  ")</f>
        <v>4.7505938242280284E-2</v>
      </c>
      <c r="J30" s="42">
        <f>IFERROR(AVERAGE(Data!J35), "  ")</f>
        <v>20</v>
      </c>
      <c r="K30" s="44" t="str">
        <f>IFERROR(AVERAGE(Data!K35), "  ")</f>
        <v xml:space="preserve">  </v>
      </c>
      <c r="L30" s="45" t="str">
        <f>IFERROR(AVERAGE(Data!L35), "  ")</f>
        <v xml:space="preserve">  </v>
      </c>
    </row>
    <row r="31" spans="1:12" x14ac:dyDescent="0.2">
      <c r="A31" s="43">
        <f>Data!A36</f>
        <v>38843</v>
      </c>
      <c r="B31" s="42">
        <f>IFERROR(AVERAGE(Data!B36), "  ")</f>
        <v>359</v>
      </c>
      <c r="C31" s="42">
        <f>IFERROR(AVERAGE(Data!C36), "  ")</f>
        <v>19</v>
      </c>
      <c r="D31" s="42">
        <f>IFERROR(AVERAGE(Data!D36), "  ")</f>
        <v>57</v>
      </c>
      <c r="E31" s="42">
        <f>IFERROR(AVERAGE(Data!E36), "  ")</f>
        <v>435</v>
      </c>
      <c r="F31" s="42">
        <f>IFERROR(AVERAGE(Data!F36), "  ")</f>
        <v>398</v>
      </c>
      <c r="G31" s="42">
        <f>IFERROR(AVERAGE(Data!G36), "  ")</f>
        <v>-37</v>
      </c>
      <c r="H31" s="44">
        <f>IFERROR(AVERAGE(Data!H36), "  ")</f>
        <v>-5.2380952380952382E-2</v>
      </c>
      <c r="I31" s="44">
        <f>IFERROR(AVERAGE(Data!I36), "  ")</f>
        <v>-1.3605442176870748E-2</v>
      </c>
      <c r="J31" s="42">
        <f>IFERROR(AVERAGE(Data!J36), "  ")</f>
        <v>-6</v>
      </c>
      <c r="K31" s="44" t="str">
        <f>IFERROR(AVERAGE(Data!K36), "  ")</f>
        <v xml:space="preserve">  </v>
      </c>
      <c r="L31" s="45" t="str">
        <f>IFERROR(AVERAGE(Data!L36), "  ")</f>
        <v xml:space="preserve">  </v>
      </c>
    </row>
    <row r="32" spans="1:12" x14ac:dyDescent="0.2">
      <c r="A32" s="43">
        <f>Data!A37</f>
        <v>38850</v>
      </c>
      <c r="B32" s="42">
        <f>IFERROR(AVERAGE(Data!B37), "  ")</f>
        <v>438</v>
      </c>
      <c r="C32" s="42">
        <f>IFERROR(AVERAGE(Data!C37), "  ")</f>
        <v>19</v>
      </c>
      <c r="D32" s="42">
        <f>IFERROR(AVERAGE(Data!D37), "  ")</f>
        <v>96</v>
      </c>
      <c r="E32" s="42">
        <f>IFERROR(AVERAGE(Data!E37), "  ")</f>
        <v>553</v>
      </c>
      <c r="F32" s="42">
        <f>IFERROR(AVERAGE(Data!F37), "  ")</f>
        <v>574</v>
      </c>
      <c r="G32" s="42">
        <f>IFERROR(AVERAGE(Data!G37), "  ")</f>
        <v>21</v>
      </c>
      <c r="H32" s="44">
        <f>IFERROR(AVERAGE(Data!H37), "  ")</f>
        <v>0.44221105527638194</v>
      </c>
      <c r="I32" s="44">
        <f>IFERROR(AVERAGE(Data!I37), "  ")</f>
        <v>0.27126436781609198</v>
      </c>
      <c r="J32" s="42">
        <f>IFERROR(AVERAGE(Data!J37), "  ")</f>
        <v>118</v>
      </c>
      <c r="K32" s="44" t="str">
        <f>IFERROR(AVERAGE(Data!K37), "  ")</f>
        <v xml:space="preserve">  </v>
      </c>
      <c r="L32" s="45" t="str">
        <f>IFERROR(AVERAGE(Data!L37), "  ")</f>
        <v xml:space="preserve">  </v>
      </c>
    </row>
    <row r="33" spans="1:12" x14ac:dyDescent="0.2">
      <c r="A33" s="43">
        <f>Data!A38</f>
        <v>38857</v>
      </c>
      <c r="B33" s="42">
        <f>IFERROR(AVERAGE(Data!B38), "  ")</f>
        <v>483</v>
      </c>
      <c r="C33" s="42">
        <f>IFERROR(AVERAGE(Data!C38), "  ")</f>
        <v>21</v>
      </c>
      <c r="D33" s="42">
        <f>IFERROR(AVERAGE(Data!D38), "  ")</f>
        <v>54</v>
      </c>
      <c r="E33" s="42">
        <f>IFERROR(AVERAGE(Data!E38), "  ")</f>
        <v>558</v>
      </c>
      <c r="F33" s="42">
        <f>IFERROR(AVERAGE(Data!F38), "  ")</f>
        <v>588</v>
      </c>
      <c r="G33" s="42">
        <f>IFERROR(AVERAGE(Data!G38), "  ")</f>
        <v>30</v>
      </c>
      <c r="H33" s="44">
        <f>IFERROR(AVERAGE(Data!H38), "  ")</f>
        <v>2.4390243902439025E-2</v>
      </c>
      <c r="I33" s="44">
        <f>IFERROR(AVERAGE(Data!I38), "  ")</f>
        <v>9.0415913200723331E-3</v>
      </c>
      <c r="J33" s="42">
        <f>IFERROR(AVERAGE(Data!J38), "  ")</f>
        <v>5</v>
      </c>
      <c r="K33" s="44" t="str">
        <f>IFERROR(AVERAGE(Data!K38), "  ")</f>
        <v xml:space="preserve">  </v>
      </c>
      <c r="L33" s="45" t="str">
        <f>IFERROR(AVERAGE(Data!L38), "  ")</f>
        <v xml:space="preserve">  </v>
      </c>
    </row>
    <row r="34" spans="1:12" x14ac:dyDescent="0.2">
      <c r="A34" s="43">
        <f>Data!A39</f>
        <v>38864</v>
      </c>
      <c r="B34" s="42">
        <f>IFERROR(AVERAGE(Data!B39), "  ")</f>
        <v>430</v>
      </c>
      <c r="C34" s="42">
        <f>IFERROR(AVERAGE(Data!C39), "  ")</f>
        <v>14</v>
      </c>
      <c r="D34" s="42">
        <f>IFERROR(AVERAGE(Data!D39), "  ")</f>
        <v>74</v>
      </c>
      <c r="E34" s="42">
        <f>IFERROR(AVERAGE(Data!E39), "  ")</f>
        <v>518</v>
      </c>
      <c r="F34" s="42">
        <f>IFERROR(AVERAGE(Data!F39), "  ")</f>
        <v>612</v>
      </c>
      <c r="G34" s="42">
        <f>IFERROR(AVERAGE(Data!G39), "  ")</f>
        <v>94</v>
      </c>
      <c r="H34" s="44">
        <f>IFERROR(AVERAGE(Data!H39), "  ")</f>
        <v>4.0816326530612242E-2</v>
      </c>
      <c r="I34" s="44">
        <f>IFERROR(AVERAGE(Data!I39), "  ")</f>
        <v>-7.1684587813620068E-2</v>
      </c>
      <c r="J34" s="42">
        <f>IFERROR(AVERAGE(Data!J39), "  ")</f>
        <v>-40</v>
      </c>
      <c r="K34" s="44" t="str">
        <f>IFERROR(AVERAGE(Data!K39), "  ")</f>
        <v xml:space="preserve">  </v>
      </c>
      <c r="L34" s="45" t="str">
        <f>IFERROR(AVERAGE(Data!L39), "  ")</f>
        <v xml:space="preserve">  </v>
      </c>
    </row>
    <row r="35" spans="1:12" x14ac:dyDescent="0.2">
      <c r="A35" s="43">
        <f>Data!A40</f>
        <v>38871</v>
      </c>
      <c r="B35" s="42">
        <f>IFERROR(AVERAGE(Data!B40), "  ")</f>
        <v>404</v>
      </c>
      <c r="C35" s="42">
        <f>IFERROR(AVERAGE(Data!C40), "  ")</f>
        <v>34</v>
      </c>
      <c r="D35" s="42">
        <f>IFERROR(AVERAGE(Data!D40), "  ")</f>
        <v>47</v>
      </c>
      <c r="E35" s="42">
        <f>IFERROR(AVERAGE(Data!E40), "  ")</f>
        <v>485</v>
      </c>
      <c r="F35" s="42">
        <f>IFERROR(AVERAGE(Data!F40), "  ")</f>
        <v>564</v>
      </c>
      <c r="G35" s="42">
        <f>IFERROR(AVERAGE(Data!G40), "  ")</f>
        <v>79</v>
      </c>
      <c r="H35" s="44">
        <f>IFERROR(AVERAGE(Data!H40), "  ")</f>
        <v>-7.8431372549019607E-2</v>
      </c>
      <c r="I35" s="44">
        <f>IFERROR(AVERAGE(Data!I40), "  ")</f>
        <v>-6.3706563706563704E-2</v>
      </c>
      <c r="J35" s="42">
        <f>IFERROR(AVERAGE(Data!J40), "  ")</f>
        <v>-33</v>
      </c>
      <c r="K35" s="44" t="str">
        <f>IFERROR(AVERAGE(Data!K40), "  ")</f>
        <v xml:space="preserve">  </v>
      </c>
      <c r="L35" s="45" t="str">
        <f>IFERROR(AVERAGE(Data!L40), "  ")</f>
        <v xml:space="preserve">  </v>
      </c>
    </row>
    <row r="36" spans="1:12" x14ac:dyDescent="0.2">
      <c r="A36" s="43">
        <f>Data!A41</f>
        <v>38878</v>
      </c>
      <c r="B36" s="42">
        <f>IFERROR(AVERAGE(Data!B41), "  ")</f>
        <v>356</v>
      </c>
      <c r="C36" s="42">
        <f>IFERROR(AVERAGE(Data!C41), "  ")</f>
        <v>24</v>
      </c>
      <c r="D36" s="42">
        <f>IFERROR(AVERAGE(Data!D41), "  ")</f>
        <v>54</v>
      </c>
      <c r="E36" s="42">
        <f>IFERROR(AVERAGE(Data!E41), "  ")</f>
        <v>434</v>
      </c>
      <c r="F36" s="42">
        <f>IFERROR(AVERAGE(Data!F41), "  ")</f>
        <v>530</v>
      </c>
      <c r="G36" s="42">
        <f>IFERROR(AVERAGE(Data!G41), "  ")</f>
        <v>96</v>
      </c>
      <c r="H36" s="44">
        <f>IFERROR(AVERAGE(Data!H41), "  ")</f>
        <v>-6.0283687943262408E-2</v>
      </c>
      <c r="I36" s="44">
        <f>IFERROR(AVERAGE(Data!I41), "  ")</f>
        <v>-0.10515463917525773</v>
      </c>
      <c r="J36" s="42">
        <f>IFERROR(AVERAGE(Data!J41), "  ")</f>
        <v>-51</v>
      </c>
      <c r="K36" s="44" t="str">
        <f>IFERROR(AVERAGE(Data!K41), "  ")</f>
        <v xml:space="preserve">  </v>
      </c>
      <c r="L36" s="45" t="str">
        <f>IFERROR(AVERAGE(Data!L41), "  ")</f>
        <v xml:space="preserve">  </v>
      </c>
    </row>
    <row r="37" spans="1:12" x14ac:dyDescent="0.2">
      <c r="A37" s="43">
        <f>Data!A42</f>
        <v>38885</v>
      </c>
      <c r="B37" s="42">
        <f>IFERROR(AVERAGE(Data!B42), "  ")</f>
        <v>437</v>
      </c>
      <c r="C37" s="42">
        <f>IFERROR(AVERAGE(Data!C42), "  ")</f>
        <v>36</v>
      </c>
      <c r="D37" s="42">
        <f>IFERROR(AVERAGE(Data!D42), "  ")</f>
        <v>34</v>
      </c>
      <c r="E37" s="42">
        <f>IFERROR(AVERAGE(Data!E42), "  ")</f>
        <v>507</v>
      </c>
      <c r="F37" s="42">
        <f>IFERROR(AVERAGE(Data!F42), "  ")</f>
        <v>531</v>
      </c>
      <c r="G37" s="42">
        <f>IFERROR(AVERAGE(Data!G42), "  ")</f>
        <v>24</v>
      </c>
      <c r="H37" s="44">
        <f>IFERROR(AVERAGE(Data!H42), "  ")</f>
        <v>1.8867924528301887E-3</v>
      </c>
      <c r="I37" s="44">
        <f>IFERROR(AVERAGE(Data!I42), "  ")</f>
        <v>0.16820276497695852</v>
      </c>
      <c r="J37" s="42">
        <f>IFERROR(AVERAGE(Data!J42), "  ")</f>
        <v>73</v>
      </c>
      <c r="K37" s="44" t="str">
        <f>IFERROR(AVERAGE(Data!K42), "  ")</f>
        <v xml:space="preserve">  </v>
      </c>
      <c r="L37" s="45" t="str">
        <f>IFERROR(AVERAGE(Data!L42), "  ")</f>
        <v xml:space="preserve">  </v>
      </c>
    </row>
    <row r="38" spans="1:12" x14ac:dyDescent="0.2">
      <c r="A38" s="43">
        <f>Data!A43</f>
        <v>38892</v>
      </c>
      <c r="B38" s="42">
        <f>IFERROR(AVERAGE(Data!B43), "  ")</f>
        <v>496</v>
      </c>
      <c r="C38" s="42">
        <f>IFERROR(AVERAGE(Data!C43), "  ")</f>
        <v>18</v>
      </c>
      <c r="D38" s="42">
        <f>IFERROR(AVERAGE(Data!D43), "  ")</f>
        <v>31</v>
      </c>
      <c r="E38" s="42">
        <f>IFERROR(AVERAGE(Data!E43), "  ")</f>
        <v>545</v>
      </c>
      <c r="F38" s="42">
        <f>IFERROR(AVERAGE(Data!F43), "  ")</f>
        <v>441</v>
      </c>
      <c r="G38" s="42">
        <f>IFERROR(AVERAGE(Data!G43), "  ")</f>
        <v>-104</v>
      </c>
      <c r="H38" s="44">
        <f>IFERROR(AVERAGE(Data!H43), "  ")</f>
        <v>-0.16949152542372881</v>
      </c>
      <c r="I38" s="44">
        <f>IFERROR(AVERAGE(Data!I43), "  ")</f>
        <v>7.4950690335305714E-2</v>
      </c>
      <c r="J38" s="42">
        <f>IFERROR(AVERAGE(Data!J43), "  ")</f>
        <v>38</v>
      </c>
      <c r="K38" s="44" t="str">
        <f>IFERROR(AVERAGE(Data!K43), "  ")</f>
        <v xml:space="preserve">  </v>
      </c>
      <c r="L38" s="45" t="str">
        <f>IFERROR(AVERAGE(Data!L43), "  ")</f>
        <v xml:space="preserve">  </v>
      </c>
    </row>
    <row r="39" spans="1:12" x14ac:dyDescent="0.2">
      <c r="A39" s="43">
        <f>Data!A44</f>
        <v>38899</v>
      </c>
      <c r="B39" s="42">
        <f>IFERROR(AVERAGE(Data!B44), "  ")</f>
        <v>577</v>
      </c>
      <c r="C39" s="42">
        <f>IFERROR(AVERAGE(Data!C44), "  ")</f>
        <v>36</v>
      </c>
      <c r="D39" s="42">
        <f>IFERROR(AVERAGE(Data!D44), "  ")</f>
        <v>50</v>
      </c>
      <c r="E39" s="42">
        <f>IFERROR(AVERAGE(Data!E44), "  ")</f>
        <v>663</v>
      </c>
      <c r="F39" s="42">
        <f>IFERROR(AVERAGE(Data!F44), "  ")</f>
        <v>475</v>
      </c>
      <c r="G39" s="42">
        <f>IFERROR(AVERAGE(Data!G44), "  ")</f>
        <v>-188</v>
      </c>
      <c r="H39" s="44">
        <f>IFERROR(AVERAGE(Data!H44), "  ")</f>
        <v>7.7097505668934238E-2</v>
      </c>
      <c r="I39" s="44">
        <f>IFERROR(AVERAGE(Data!I44), "  ")</f>
        <v>0.21651376146788992</v>
      </c>
      <c r="J39" s="42">
        <f>IFERROR(AVERAGE(Data!J44), "  ")</f>
        <v>118</v>
      </c>
      <c r="K39" s="44" t="str">
        <f>IFERROR(AVERAGE(Data!K44), "  ")</f>
        <v xml:space="preserve">  </v>
      </c>
      <c r="L39" s="45" t="str">
        <f>IFERROR(AVERAGE(Data!L44), "  ")</f>
        <v xml:space="preserve">  </v>
      </c>
    </row>
    <row r="40" spans="1:12" x14ac:dyDescent="0.2">
      <c r="A40" s="43">
        <f>Data!A45</f>
        <v>38906</v>
      </c>
      <c r="B40" s="42">
        <f>IFERROR(AVERAGE(Data!B45), "  ")</f>
        <v>504</v>
      </c>
      <c r="C40" s="42">
        <f>IFERROR(AVERAGE(Data!C45), "  ")</f>
        <v>30</v>
      </c>
      <c r="D40" s="42">
        <f>IFERROR(AVERAGE(Data!D45), "  ")</f>
        <v>34</v>
      </c>
      <c r="E40" s="42">
        <f>IFERROR(AVERAGE(Data!E45), "  ")</f>
        <v>568</v>
      </c>
      <c r="F40" s="42">
        <f>IFERROR(AVERAGE(Data!F45), "  ")</f>
        <v>454</v>
      </c>
      <c r="G40" s="42">
        <f>IFERROR(AVERAGE(Data!G45), "  ")</f>
        <v>-114</v>
      </c>
      <c r="H40" s="44">
        <f>IFERROR(AVERAGE(Data!H45), "  ")</f>
        <v>-4.4210526315789471E-2</v>
      </c>
      <c r="I40" s="44">
        <f>IFERROR(AVERAGE(Data!I45), "  ")</f>
        <v>-0.14328808446455504</v>
      </c>
      <c r="J40" s="42">
        <f>IFERROR(AVERAGE(Data!J45), "  ")</f>
        <v>-95</v>
      </c>
      <c r="K40" s="44" t="str">
        <f>IFERROR(AVERAGE(Data!K45), "  ")</f>
        <v xml:space="preserve">  </v>
      </c>
      <c r="L40" s="45" t="str">
        <f>IFERROR(AVERAGE(Data!L45), "  ")</f>
        <v xml:space="preserve">  </v>
      </c>
    </row>
    <row r="41" spans="1:12" x14ac:dyDescent="0.2">
      <c r="A41" s="43">
        <f>Data!A46</f>
        <v>38913</v>
      </c>
      <c r="B41" s="42">
        <f>IFERROR(AVERAGE(Data!B46), "  ")</f>
        <v>441</v>
      </c>
      <c r="C41" s="42">
        <f>IFERROR(AVERAGE(Data!C46), "  ")</f>
        <v>22</v>
      </c>
      <c r="D41" s="42">
        <f>IFERROR(AVERAGE(Data!D46), "  ")</f>
        <v>49</v>
      </c>
      <c r="E41" s="42">
        <f>IFERROR(AVERAGE(Data!E46), "  ")</f>
        <v>512</v>
      </c>
      <c r="F41" s="42">
        <f>IFERROR(AVERAGE(Data!F46), "  ")</f>
        <v>524</v>
      </c>
      <c r="G41" s="42">
        <f>IFERROR(AVERAGE(Data!G46), "  ")</f>
        <v>12</v>
      </c>
      <c r="H41" s="44">
        <f>IFERROR(AVERAGE(Data!H46), "  ")</f>
        <v>0.15418502202643172</v>
      </c>
      <c r="I41" s="44">
        <f>IFERROR(AVERAGE(Data!I46), "  ")</f>
        <v>-9.8591549295774641E-2</v>
      </c>
      <c r="J41" s="42">
        <f>IFERROR(AVERAGE(Data!J46), "  ")</f>
        <v>-56</v>
      </c>
      <c r="K41" s="44" t="str">
        <f>IFERROR(AVERAGE(Data!K46), "  ")</f>
        <v xml:space="preserve">  </v>
      </c>
      <c r="L41" s="45" t="str">
        <f>IFERROR(AVERAGE(Data!L46), "  ")</f>
        <v xml:space="preserve">  </v>
      </c>
    </row>
    <row r="42" spans="1:12" x14ac:dyDescent="0.2">
      <c r="A42" s="43">
        <f>Data!A47</f>
        <v>38920</v>
      </c>
      <c r="B42" s="42">
        <f>IFERROR(AVERAGE(Data!B47), "  ")</f>
        <v>469</v>
      </c>
      <c r="C42" s="42">
        <f>IFERROR(AVERAGE(Data!C47), "  ")</f>
        <v>47</v>
      </c>
      <c r="D42" s="42">
        <f>IFERROR(AVERAGE(Data!D47), "  ")</f>
        <v>53</v>
      </c>
      <c r="E42" s="42">
        <f>IFERROR(AVERAGE(Data!E47), "  ")</f>
        <v>569</v>
      </c>
      <c r="F42" s="42">
        <f>IFERROR(AVERAGE(Data!F47), "  ")</f>
        <v>588</v>
      </c>
      <c r="G42" s="42">
        <f>IFERROR(AVERAGE(Data!G47), "  ")</f>
        <v>19</v>
      </c>
      <c r="H42" s="44">
        <f>IFERROR(AVERAGE(Data!H47), "  ")</f>
        <v>0.12213740458015267</v>
      </c>
      <c r="I42" s="44">
        <f>IFERROR(AVERAGE(Data!I47), "  ")</f>
        <v>0.111328125</v>
      </c>
      <c r="J42" s="42">
        <f>IFERROR(AVERAGE(Data!J47), "  ")</f>
        <v>57</v>
      </c>
      <c r="K42" s="44" t="str">
        <f>IFERROR(AVERAGE(Data!K47), "  ")</f>
        <v xml:space="preserve">  </v>
      </c>
      <c r="L42" s="45" t="str">
        <f>IFERROR(AVERAGE(Data!L47), "  ")</f>
        <v xml:space="preserve">  </v>
      </c>
    </row>
    <row r="43" spans="1:12" x14ac:dyDescent="0.2">
      <c r="A43" s="43">
        <f>Data!A48</f>
        <v>38927</v>
      </c>
      <c r="B43" s="42">
        <f>IFERROR(AVERAGE(Data!B48), "  ")</f>
        <v>473</v>
      </c>
      <c r="C43" s="42">
        <f>IFERROR(AVERAGE(Data!C48), "  ")</f>
        <v>38</v>
      </c>
      <c r="D43" s="42">
        <f>IFERROR(AVERAGE(Data!D48), "  ")</f>
        <v>44</v>
      </c>
      <c r="E43" s="42">
        <f>IFERROR(AVERAGE(Data!E48), "  ")</f>
        <v>555</v>
      </c>
      <c r="F43" s="42">
        <f>IFERROR(AVERAGE(Data!F48), "  ")</f>
        <v>619</v>
      </c>
      <c r="G43" s="42">
        <f>IFERROR(AVERAGE(Data!G48), "  ")</f>
        <v>64</v>
      </c>
      <c r="H43" s="44">
        <f>IFERROR(AVERAGE(Data!H48), "  ")</f>
        <v>5.2721088435374153E-2</v>
      </c>
      <c r="I43" s="44">
        <f>IFERROR(AVERAGE(Data!I48), "  ")</f>
        <v>-2.4604569420035149E-2</v>
      </c>
      <c r="J43" s="42">
        <f>IFERROR(AVERAGE(Data!J48), "  ")</f>
        <v>-14</v>
      </c>
      <c r="K43" s="44" t="str">
        <f>IFERROR(AVERAGE(Data!K48), "  ")</f>
        <v xml:space="preserve">  </v>
      </c>
      <c r="L43" s="45" t="str">
        <f>IFERROR(AVERAGE(Data!L48), "  ")</f>
        <v xml:space="preserve">  </v>
      </c>
    </row>
    <row r="44" spans="1:12" x14ac:dyDescent="0.2">
      <c r="A44" s="43">
        <f>Data!A49</f>
        <v>38934</v>
      </c>
      <c r="B44" s="42">
        <f>IFERROR(AVERAGE(Data!B49), "  ")</f>
        <v>457</v>
      </c>
      <c r="C44" s="42">
        <f>IFERROR(AVERAGE(Data!C49), "  ")</f>
        <v>26</v>
      </c>
      <c r="D44" s="42">
        <f>IFERROR(AVERAGE(Data!D49), "  ")</f>
        <v>27</v>
      </c>
      <c r="E44" s="42">
        <f>IFERROR(AVERAGE(Data!E49), "  ")</f>
        <v>510</v>
      </c>
      <c r="F44" s="42">
        <f>IFERROR(AVERAGE(Data!F49), "  ")</f>
        <v>462</v>
      </c>
      <c r="G44" s="42">
        <f>IFERROR(AVERAGE(Data!G49), "  ")</f>
        <v>-48</v>
      </c>
      <c r="H44" s="44">
        <f>IFERROR(AVERAGE(Data!H49), "  ")</f>
        <v>-0.25363489499192243</v>
      </c>
      <c r="I44" s="44">
        <f>IFERROR(AVERAGE(Data!I49), "  ")</f>
        <v>-8.1081081081081086E-2</v>
      </c>
      <c r="J44" s="42">
        <f>IFERROR(AVERAGE(Data!J49), "  ")</f>
        <v>-45</v>
      </c>
      <c r="K44" s="44" t="str">
        <f>IFERROR(AVERAGE(Data!K49), "  ")</f>
        <v xml:space="preserve">  </v>
      </c>
      <c r="L44" s="45" t="str">
        <f>IFERROR(AVERAGE(Data!L49), "  ")</f>
        <v xml:space="preserve">  </v>
      </c>
    </row>
    <row r="45" spans="1:12" x14ac:dyDescent="0.2">
      <c r="A45" s="43">
        <f>Data!A50</f>
        <v>38941</v>
      </c>
      <c r="B45" s="42">
        <f>IFERROR(AVERAGE(Data!B50), "  ")</f>
        <v>423</v>
      </c>
      <c r="C45" s="42">
        <f>IFERROR(AVERAGE(Data!C50), "  ")</f>
        <v>30</v>
      </c>
      <c r="D45" s="42">
        <f>IFERROR(AVERAGE(Data!D50), "  ")</f>
        <v>33</v>
      </c>
      <c r="E45" s="42">
        <f>IFERROR(AVERAGE(Data!E50), "  ")</f>
        <v>486</v>
      </c>
      <c r="F45" s="42">
        <f>IFERROR(AVERAGE(Data!F50), "  ")</f>
        <v>551</v>
      </c>
      <c r="G45" s="42">
        <f>IFERROR(AVERAGE(Data!G50), "  ")</f>
        <v>65</v>
      </c>
      <c r="H45" s="44">
        <f>IFERROR(AVERAGE(Data!H50), "  ")</f>
        <v>0.19264069264069264</v>
      </c>
      <c r="I45" s="44">
        <f>IFERROR(AVERAGE(Data!I50), "  ")</f>
        <v>-4.7058823529411764E-2</v>
      </c>
      <c r="J45" s="42">
        <f>IFERROR(AVERAGE(Data!J50), "  ")</f>
        <v>-24</v>
      </c>
      <c r="K45" s="44" t="str">
        <f>IFERROR(AVERAGE(Data!K50), "  ")</f>
        <v xml:space="preserve">  </v>
      </c>
      <c r="L45" s="45" t="str">
        <f>IFERROR(AVERAGE(Data!L50), "  ")</f>
        <v xml:space="preserve">  </v>
      </c>
    </row>
    <row r="46" spans="1:12" x14ac:dyDescent="0.2">
      <c r="A46" s="43">
        <f>Data!A51</f>
        <v>38948</v>
      </c>
      <c r="B46" s="42">
        <f>IFERROR(AVERAGE(Data!B51), "  ")</f>
        <v>435</v>
      </c>
      <c r="C46" s="42">
        <f>IFERROR(AVERAGE(Data!C51), "  ")</f>
        <v>24</v>
      </c>
      <c r="D46" s="42">
        <f>IFERROR(AVERAGE(Data!D51), "  ")</f>
        <v>48</v>
      </c>
      <c r="E46" s="42">
        <f>IFERROR(AVERAGE(Data!E51), "  ")</f>
        <v>507</v>
      </c>
      <c r="F46" s="42">
        <f>IFERROR(AVERAGE(Data!F51), "  ")</f>
        <v>629</v>
      </c>
      <c r="G46" s="42">
        <f>IFERROR(AVERAGE(Data!G51), "  ")</f>
        <v>122</v>
      </c>
      <c r="H46" s="44">
        <f>IFERROR(AVERAGE(Data!H51), "  ")</f>
        <v>0.14156079854809436</v>
      </c>
      <c r="I46" s="44">
        <f>IFERROR(AVERAGE(Data!I51), "  ")</f>
        <v>4.3209876543209874E-2</v>
      </c>
      <c r="J46" s="42">
        <f>IFERROR(AVERAGE(Data!J51), "  ")</f>
        <v>21</v>
      </c>
      <c r="K46" s="44" t="str">
        <f>IFERROR(AVERAGE(Data!K51), "  ")</f>
        <v xml:space="preserve">  </v>
      </c>
      <c r="L46" s="45" t="str">
        <f>IFERROR(AVERAGE(Data!L51), "  ")</f>
        <v xml:space="preserve">  </v>
      </c>
    </row>
    <row r="47" spans="1:12" x14ac:dyDescent="0.2">
      <c r="A47" s="43">
        <f>Data!A52</f>
        <v>38955</v>
      </c>
      <c r="B47" s="42">
        <f>IFERROR(AVERAGE(Data!B52), "  ")</f>
        <v>255</v>
      </c>
      <c r="C47" s="42">
        <f>IFERROR(AVERAGE(Data!C52), "  ")</f>
        <v>26</v>
      </c>
      <c r="D47" s="42">
        <f>IFERROR(AVERAGE(Data!D52), "  ")</f>
        <v>25</v>
      </c>
      <c r="E47" s="42">
        <f>IFERROR(AVERAGE(Data!E52), "  ")</f>
        <v>306</v>
      </c>
      <c r="F47" s="42">
        <f>IFERROR(AVERAGE(Data!F52), "  ")</f>
        <v>598</v>
      </c>
      <c r="G47" s="42">
        <f>IFERROR(AVERAGE(Data!G52), "  ")</f>
        <v>292</v>
      </c>
      <c r="H47" s="44">
        <f>IFERROR(AVERAGE(Data!H52), "  ")</f>
        <v>-4.9284578696343402E-2</v>
      </c>
      <c r="I47" s="44">
        <f>IFERROR(AVERAGE(Data!I52), "  ")</f>
        <v>-0.39644970414201186</v>
      </c>
      <c r="J47" s="42">
        <f>IFERROR(AVERAGE(Data!J52), "  ")</f>
        <v>-201</v>
      </c>
      <c r="K47" s="44" t="str">
        <f>IFERROR(AVERAGE(Data!K52), "  ")</f>
        <v xml:space="preserve">  </v>
      </c>
      <c r="L47" s="45" t="str">
        <f>IFERROR(AVERAGE(Data!L52), "  ")</f>
        <v xml:space="preserve">  </v>
      </c>
    </row>
    <row r="48" spans="1:12" x14ac:dyDescent="0.2">
      <c r="A48" s="43">
        <f>Data!A53</f>
        <v>38962</v>
      </c>
      <c r="B48" s="42">
        <f>IFERROR(AVERAGE(Data!B53), "  ")</f>
        <v>356</v>
      </c>
      <c r="C48" s="42">
        <f>IFERROR(AVERAGE(Data!C53), "  ")</f>
        <v>18</v>
      </c>
      <c r="D48" s="42">
        <f>IFERROR(AVERAGE(Data!D53), "  ")</f>
        <v>32</v>
      </c>
      <c r="E48" s="42">
        <f>IFERROR(AVERAGE(Data!E53), "  ")</f>
        <v>406</v>
      </c>
      <c r="F48" s="42">
        <f>IFERROR(AVERAGE(Data!F53), "  ")</f>
        <v>520</v>
      </c>
      <c r="G48" s="42">
        <f>IFERROR(AVERAGE(Data!G53), "  ")</f>
        <v>114</v>
      </c>
      <c r="H48" s="44">
        <f>IFERROR(AVERAGE(Data!H53), "  ")</f>
        <v>-0.13043478260869565</v>
      </c>
      <c r="I48" s="44">
        <f>IFERROR(AVERAGE(Data!I53), "  ")</f>
        <v>0.32679738562091504</v>
      </c>
      <c r="J48" s="42">
        <f>IFERROR(AVERAGE(Data!J53), "  ")</f>
        <v>100</v>
      </c>
      <c r="K48" s="44" t="str">
        <f>IFERROR(AVERAGE(Data!K53), "  ")</f>
        <v xml:space="preserve">  </v>
      </c>
      <c r="L48" s="45" t="str">
        <f>IFERROR(AVERAGE(Data!L53), "  ")</f>
        <v xml:space="preserve">  </v>
      </c>
    </row>
    <row r="49" spans="1:12" x14ac:dyDescent="0.2">
      <c r="A49" s="43">
        <f>Data!A54</f>
        <v>38969</v>
      </c>
      <c r="B49" s="42">
        <f>IFERROR(AVERAGE(Data!B54), "  ")</f>
        <v>292</v>
      </c>
      <c r="C49" s="42">
        <f>IFERROR(AVERAGE(Data!C54), "  ")</f>
        <v>17</v>
      </c>
      <c r="D49" s="42">
        <f>IFERROR(AVERAGE(Data!D54), "  ")</f>
        <v>27</v>
      </c>
      <c r="E49" s="42">
        <f>IFERROR(AVERAGE(Data!E54), "  ")</f>
        <v>336</v>
      </c>
      <c r="F49" s="42">
        <f>IFERROR(AVERAGE(Data!F54), "  ")</f>
        <v>564</v>
      </c>
      <c r="G49" s="42">
        <f>IFERROR(AVERAGE(Data!G54), "  ")</f>
        <v>228</v>
      </c>
      <c r="H49" s="44">
        <f>IFERROR(AVERAGE(Data!H54), "  ")</f>
        <v>8.461538461538462E-2</v>
      </c>
      <c r="I49" s="44">
        <f>IFERROR(AVERAGE(Data!I54), "  ")</f>
        <v>-0.17241379310344829</v>
      </c>
      <c r="J49" s="42">
        <f>IFERROR(AVERAGE(Data!J54), "  ")</f>
        <v>-70</v>
      </c>
      <c r="K49" s="44" t="str">
        <f>IFERROR(AVERAGE(Data!K54), "  ")</f>
        <v xml:space="preserve">  </v>
      </c>
      <c r="L49" s="45" t="str">
        <f>IFERROR(AVERAGE(Data!L54), "  ")</f>
        <v xml:space="preserve">  </v>
      </c>
    </row>
    <row r="50" spans="1:12" x14ac:dyDescent="0.2">
      <c r="A50" s="43">
        <f>Data!A55</f>
        <v>38976</v>
      </c>
      <c r="B50" s="42">
        <f>IFERROR(AVERAGE(Data!B55), "  ")</f>
        <v>228</v>
      </c>
      <c r="C50" s="42">
        <f>IFERROR(AVERAGE(Data!C55), "  ")</f>
        <v>29</v>
      </c>
      <c r="D50" s="42">
        <f>IFERROR(AVERAGE(Data!D55), "  ")</f>
        <v>92</v>
      </c>
      <c r="E50" s="42">
        <f>IFERROR(AVERAGE(Data!E55), "  ")</f>
        <v>349</v>
      </c>
      <c r="F50" s="42">
        <f>IFERROR(AVERAGE(Data!F55), "  ")</f>
        <v>628</v>
      </c>
      <c r="G50" s="42">
        <f>IFERROR(AVERAGE(Data!G55), "  ")</f>
        <v>279</v>
      </c>
      <c r="H50" s="44">
        <f>IFERROR(AVERAGE(Data!H55), "  ")</f>
        <v>0.11347517730496454</v>
      </c>
      <c r="I50" s="44">
        <f>IFERROR(AVERAGE(Data!I55), "  ")</f>
        <v>3.8690476190476192E-2</v>
      </c>
      <c r="J50" s="42">
        <f>IFERROR(AVERAGE(Data!J55), "  ")</f>
        <v>13</v>
      </c>
      <c r="K50" s="44" t="str">
        <f>IFERROR(AVERAGE(Data!K55), "  ")</f>
        <v xml:space="preserve">  </v>
      </c>
      <c r="L50" s="45" t="str">
        <f>IFERROR(AVERAGE(Data!L55), "  ")</f>
        <v xml:space="preserve">  </v>
      </c>
    </row>
    <row r="51" spans="1:12" x14ac:dyDescent="0.2">
      <c r="A51" s="43">
        <f>Data!A56</f>
        <v>38983</v>
      </c>
      <c r="B51" s="42">
        <f>IFERROR(AVERAGE(Data!B56), "  ")</f>
        <v>319</v>
      </c>
      <c r="C51" s="42">
        <f>IFERROR(AVERAGE(Data!C56), "  ")</f>
        <v>15</v>
      </c>
      <c r="D51" s="42">
        <f>IFERROR(AVERAGE(Data!D56), "  ")</f>
        <v>48</v>
      </c>
      <c r="E51" s="42">
        <f>IFERROR(AVERAGE(Data!E56), "  ")</f>
        <v>382</v>
      </c>
      <c r="F51" s="42">
        <f>IFERROR(AVERAGE(Data!F56), "  ")</f>
        <v>533</v>
      </c>
      <c r="G51" s="42">
        <f>IFERROR(AVERAGE(Data!G56), "  ")</f>
        <v>151</v>
      </c>
      <c r="H51" s="44">
        <f>IFERROR(AVERAGE(Data!H56), "  ")</f>
        <v>-0.15127388535031847</v>
      </c>
      <c r="I51" s="44">
        <f>IFERROR(AVERAGE(Data!I56), "  ")</f>
        <v>9.4555873925501438E-2</v>
      </c>
      <c r="J51" s="42">
        <f>IFERROR(AVERAGE(Data!J56), "  ")</f>
        <v>33</v>
      </c>
      <c r="K51" s="44" t="str">
        <f>IFERROR(AVERAGE(Data!K56), "  ")</f>
        <v xml:space="preserve">  </v>
      </c>
      <c r="L51" s="45" t="str">
        <f>IFERROR(AVERAGE(Data!L56), "  ")</f>
        <v xml:space="preserve">  </v>
      </c>
    </row>
    <row r="52" spans="1:12" x14ac:dyDescent="0.2">
      <c r="A52" s="43">
        <f>Data!A57</f>
        <v>38990</v>
      </c>
      <c r="B52" s="42">
        <f>IFERROR(AVERAGE(Data!B57), "  ")</f>
        <v>390</v>
      </c>
      <c r="C52" s="42">
        <f>IFERROR(AVERAGE(Data!C57), "  ")</f>
        <v>15</v>
      </c>
      <c r="D52" s="42">
        <f>IFERROR(AVERAGE(Data!D57), "  ")</f>
        <v>89</v>
      </c>
      <c r="E52" s="42">
        <f>IFERROR(AVERAGE(Data!E57), "  ")</f>
        <v>494</v>
      </c>
      <c r="F52" s="42">
        <f>IFERROR(AVERAGE(Data!F57), "  ")</f>
        <v>503</v>
      </c>
      <c r="G52" s="42">
        <f>IFERROR(AVERAGE(Data!G57), "  ")</f>
        <v>9</v>
      </c>
      <c r="H52" s="44">
        <f>IFERROR(AVERAGE(Data!H57), "  ")</f>
        <v>-5.6285178236397747E-2</v>
      </c>
      <c r="I52" s="44">
        <f>IFERROR(AVERAGE(Data!I57), "  ")</f>
        <v>0.29319371727748689</v>
      </c>
      <c r="J52" s="42">
        <f>IFERROR(AVERAGE(Data!J57), "  ")</f>
        <v>112</v>
      </c>
      <c r="K52" s="44" t="str">
        <f>IFERROR(AVERAGE(Data!K57), "  ")</f>
        <v xml:space="preserve">  </v>
      </c>
      <c r="L52" s="45" t="str">
        <f>IFERROR(AVERAGE(Data!L57), "  ")</f>
        <v xml:space="preserve">  </v>
      </c>
    </row>
    <row r="53" spans="1:12" x14ac:dyDescent="0.2">
      <c r="A53" s="43">
        <f>Data!A58</f>
        <v>38997</v>
      </c>
      <c r="B53" s="42">
        <f>IFERROR(AVERAGE(Data!B58), "  ")</f>
        <v>381</v>
      </c>
      <c r="C53" s="42">
        <f>IFERROR(AVERAGE(Data!C58), "  ")</f>
        <v>29</v>
      </c>
      <c r="D53" s="42">
        <f>IFERROR(AVERAGE(Data!D58), "  ")</f>
        <v>97</v>
      </c>
      <c r="E53" s="42">
        <f>IFERROR(AVERAGE(Data!E58), "  ")</f>
        <v>507</v>
      </c>
      <c r="F53" s="42">
        <f>IFERROR(AVERAGE(Data!F58), "  ")</f>
        <v>632</v>
      </c>
      <c r="G53" s="42">
        <f>IFERROR(AVERAGE(Data!G58), "  ")</f>
        <v>125</v>
      </c>
      <c r="H53" s="44">
        <f>IFERROR(AVERAGE(Data!H58), "  ")</f>
        <v>0.25646123260437376</v>
      </c>
      <c r="I53" s="44">
        <f>IFERROR(AVERAGE(Data!I58), "  ")</f>
        <v>2.6315789473684209E-2</v>
      </c>
      <c r="J53" s="42">
        <f>IFERROR(AVERAGE(Data!J58), "  ")</f>
        <v>13</v>
      </c>
      <c r="K53" s="44" t="str">
        <f>IFERROR(AVERAGE(Data!K58), "  ")</f>
        <v xml:space="preserve">  </v>
      </c>
      <c r="L53" s="45" t="str">
        <f>IFERROR(AVERAGE(Data!L58), "  ")</f>
        <v xml:space="preserve">  </v>
      </c>
    </row>
    <row r="54" spans="1:12" x14ac:dyDescent="0.2">
      <c r="A54" s="43">
        <f>Data!A59</f>
        <v>39004</v>
      </c>
      <c r="B54" s="42">
        <f>IFERROR(AVERAGE(Data!B59), "  ")</f>
        <v>335</v>
      </c>
      <c r="C54" s="42">
        <f>IFERROR(AVERAGE(Data!C59), "  ")</f>
        <v>22</v>
      </c>
      <c r="D54" s="42">
        <f>IFERROR(AVERAGE(Data!D59), "  ")</f>
        <v>87</v>
      </c>
      <c r="E54" s="42">
        <f>IFERROR(AVERAGE(Data!E59), "  ")</f>
        <v>444</v>
      </c>
      <c r="F54" s="42">
        <f>IFERROR(AVERAGE(Data!F59), "  ")</f>
        <v>610</v>
      </c>
      <c r="G54" s="42">
        <f>IFERROR(AVERAGE(Data!G59), "  ")</f>
        <v>166</v>
      </c>
      <c r="H54" s="44">
        <f>IFERROR(AVERAGE(Data!H59), "  ")</f>
        <v>-3.4810126582278479E-2</v>
      </c>
      <c r="I54" s="44">
        <f>IFERROR(AVERAGE(Data!I59), "  ")</f>
        <v>-0.1242603550295858</v>
      </c>
      <c r="J54" s="42">
        <f>IFERROR(AVERAGE(Data!J59), "  ")</f>
        <v>-63</v>
      </c>
      <c r="K54" s="44">
        <f>IFERROR(AVERAGE(Data!K59), "  ")</f>
        <v>-0.20261437908496732</v>
      </c>
      <c r="L54" s="45" t="str">
        <f>IFERROR(AVERAGE(Data!L59), "  ")</f>
        <v xml:space="preserve">  </v>
      </c>
    </row>
    <row r="55" spans="1:12" x14ac:dyDescent="0.2">
      <c r="A55" s="43">
        <f>Data!A60</f>
        <v>39011</v>
      </c>
      <c r="B55" s="42">
        <f>IFERROR(AVERAGE(Data!B60), "  ")</f>
        <v>347</v>
      </c>
      <c r="C55" s="42">
        <f>IFERROR(AVERAGE(Data!C60), "  ")</f>
        <v>21</v>
      </c>
      <c r="D55" s="42">
        <f>IFERROR(AVERAGE(Data!D60), "  ")</f>
        <v>115</v>
      </c>
      <c r="E55" s="42">
        <f>IFERROR(AVERAGE(Data!E60), "  ")</f>
        <v>483</v>
      </c>
      <c r="F55" s="42">
        <f>IFERROR(AVERAGE(Data!F60), "  ")</f>
        <v>630</v>
      </c>
      <c r="G55" s="42">
        <f>IFERROR(AVERAGE(Data!G60), "  ")</f>
        <v>147</v>
      </c>
      <c r="H55" s="44">
        <f>IFERROR(AVERAGE(Data!H60), "  ")</f>
        <v>3.2786885245901641E-2</v>
      </c>
      <c r="I55" s="44">
        <f>IFERROR(AVERAGE(Data!I60), "  ")</f>
        <v>8.7837837837837843E-2</v>
      </c>
      <c r="J55" s="42">
        <f>IFERROR(AVERAGE(Data!J60), "  ")</f>
        <v>39</v>
      </c>
      <c r="K55" s="44">
        <f>IFERROR(AVERAGE(Data!K60), "  ")</f>
        <v>-0.14285714285714285</v>
      </c>
      <c r="L55" s="45" t="str">
        <f>IFERROR(AVERAGE(Data!L60), "  ")</f>
        <v xml:space="preserve">  </v>
      </c>
    </row>
    <row r="56" spans="1:12" x14ac:dyDescent="0.2">
      <c r="A56" s="43">
        <f>Data!A61</f>
        <v>39018</v>
      </c>
      <c r="B56" s="42">
        <f>IFERROR(AVERAGE(Data!B61), "  ")</f>
        <v>308</v>
      </c>
      <c r="C56" s="42">
        <f>IFERROR(AVERAGE(Data!C61), "  ")</f>
        <v>27</v>
      </c>
      <c r="D56" s="42">
        <f>IFERROR(AVERAGE(Data!D61), "  ")</f>
        <v>51</v>
      </c>
      <c r="E56" s="42">
        <f>IFERROR(AVERAGE(Data!E61), "  ")</f>
        <v>386</v>
      </c>
      <c r="F56" s="42">
        <f>IFERROR(AVERAGE(Data!F61), "  ")</f>
        <v>688</v>
      </c>
      <c r="G56" s="42">
        <f>IFERROR(AVERAGE(Data!G61), "  ")</f>
        <v>302</v>
      </c>
      <c r="H56" s="44">
        <f>IFERROR(AVERAGE(Data!H61), "  ")</f>
        <v>9.2063492063492069E-2</v>
      </c>
      <c r="I56" s="44">
        <f>IFERROR(AVERAGE(Data!I61), "  ")</f>
        <v>-0.20082815734989648</v>
      </c>
      <c r="J56" s="42">
        <f>IFERROR(AVERAGE(Data!J61), "  ")</f>
        <v>-97</v>
      </c>
      <c r="K56" s="44">
        <f>IFERROR(AVERAGE(Data!K61), "  ")</f>
        <v>-5.4945054945054944E-2</v>
      </c>
      <c r="L56" s="45" t="str">
        <f>IFERROR(AVERAGE(Data!L61), "  ")</f>
        <v xml:space="preserve">  </v>
      </c>
    </row>
    <row r="57" spans="1:12" x14ac:dyDescent="0.2">
      <c r="A57" s="43">
        <f>Data!A62</f>
        <v>39025</v>
      </c>
      <c r="B57" s="42">
        <f>IFERROR(AVERAGE(Data!B62), "  ")</f>
        <v>398</v>
      </c>
      <c r="C57" s="42">
        <f>IFERROR(AVERAGE(Data!C62), "  ")</f>
        <v>28</v>
      </c>
      <c r="D57" s="42">
        <f>IFERROR(AVERAGE(Data!D62), "  ")</f>
        <v>62</v>
      </c>
      <c r="E57" s="42">
        <f>IFERROR(AVERAGE(Data!E62), "  ")</f>
        <v>488</v>
      </c>
      <c r="F57" s="42">
        <f>IFERROR(AVERAGE(Data!F62), "  ")</f>
        <v>779</v>
      </c>
      <c r="G57" s="42">
        <f>IFERROR(AVERAGE(Data!G62), "  ")</f>
        <v>291</v>
      </c>
      <c r="H57" s="44">
        <f>IFERROR(AVERAGE(Data!H62), "  ")</f>
        <v>0.13226744186046513</v>
      </c>
      <c r="I57" s="44">
        <f>IFERROR(AVERAGE(Data!I62), "  ")</f>
        <v>0.26424870466321243</v>
      </c>
      <c r="J57" s="42">
        <f>IFERROR(AVERAGE(Data!J62), "  ")</f>
        <v>102</v>
      </c>
      <c r="K57" s="44">
        <f>IFERROR(AVERAGE(Data!K62), "  ")</f>
        <v>0.32935153583617749</v>
      </c>
      <c r="L57" s="45" t="str">
        <f>IFERROR(AVERAGE(Data!L62), "  ")</f>
        <v xml:space="preserve">  </v>
      </c>
    </row>
    <row r="58" spans="1:12" x14ac:dyDescent="0.2">
      <c r="A58" s="43">
        <f>Data!A63</f>
        <v>39032</v>
      </c>
      <c r="B58" s="42">
        <f>IFERROR(AVERAGE(Data!B63), "  ")</f>
        <v>454</v>
      </c>
      <c r="C58" s="42">
        <f>IFERROR(AVERAGE(Data!C63), "  ")</f>
        <v>13</v>
      </c>
      <c r="D58" s="42">
        <f>IFERROR(AVERAGE(Data!D63), "  ")</f>
        <v>93</v>
      </c>
      <c r="E58" s="42">
        <f>IFERROR(AVERAGE(Data!E63), "  ")</f>
        <v>560</v>
      </c>
      <c r="F58" s="42">
        <f>IFERROR(AVERAGE(Data!F63), "  ")</f>
        <v>680</v>
      </c>
      <c r="G58" s="42">
        <f>IFERROR(AVERAGE(Data!G63), "  ")</f>
        <v>120</v>
      </c>
      <c r="H58" s="44">
        <f>IFERROR(AVERAGE(Data!H63), "  ")</f>
        <v>-0.12708600770218229</v>
      </c>
      <c r="I58" s="44">
        <f>IFERROR(AVERAGE(Data!I63), "  ")</f>
        <v>0.14754098360655737</v>
      </c>
      <c r="J58" s="42">
        <f>IFERROR(AVERAGE(Data!J63), "  ")</f>
        <v>72</v>
      </c>
      <c r="K58" s="44">
        <f>IFERROR(AVERAGE(Data!K63), "  ")</f>
        <v>0.17850953206239167</v>
      </c>
      <c r="L58" s="45" t="str">
        <f>IFERROR(AVERAGE(Data!L63), "  ")</f>
        <v xml:space="preserve">  </v>
      </c>
    </row>
    <row r="59" spans="1:12" x14ac:dyDescent="0.2">
      <c r="A59" s="43">
        <f>Data!A64</f>
        <v>39039</v>
      </c>
      <c r="B59" s="42">
        <f>IFERROR(AVERAGE(Data!B64), "  ")</f>
        <v>482</v>
      </c>
      <c r="C59" s="42">
        <f>IFERROR(AVERAGE(Data!C64), "  ")</f>
        <v>29</v>
      </c>
      <c r="D59" s="42">
        <f>IFERROR(AVERAGE(Data!D64), "  ")</f>
        <v>79</v>
      </c>
      <c r="E59" s="42">
        <f>IFERROR(AVERAGE(Data!E64), "  ")</f>
        <v>590</v>
      </c>
      <c r="F59" s="42">
        <f>IFERROR(AVERAGE(Data!F64), "  ")</f>
        <v>665</v>
      </c>
      <c r="G59" s="42">
        <f>IFERROR(AVERAGE(Data!G64), "  ")</f>
        <v>75</v>
      </c>
      <c r="H59" s="44">
        <f>IFERROR(AVERAGE(Data!H64), "  ")</f>
        <v>-2.2058823529411766E-2</v>
      </c>
      <c r="I59" s="44">
        <f>IFERROR(AVERAGE(Data!I64), "  ")</f>
        <v>5.3571428571428568E-2</v>
      </c>
      <c r="J59" s="42">
        <f>IFERROR(AVERAGE(Data!J64), "  ")</f>
        <v>30</v>
      </c>
      <c r="K59" s="44">
        <f>IFERROR(AVERAGE(Data!K64), "  ")</f>
        <v>0.17699115044247787</v>
      </c>
      <c r="L59" s="45" t="str">
        <f>IFERROR(AVERAGE(Data!L64), "  ")</f>
        <v xml:space="preserve">  </v>
      </c>
    </row>
    <row r="60" spans="1:12" x14ac:dyDescent="0.2">
      <c r="A60" s="43">
        <f>Data!A65</f>
        <v>39046</v>
      </c>
      <c r="B60" s="42">
        <f>IFERROR(AVERAGE(Data!B65), "  ")</f>
        <v>543</v>
      </c>
      <c r="C60" s="42">
        <f>IFERROR(AVERAGE(Data!C65), "  ")</f>
        <v>33</v>
      </c>
      <c r="D60" s="42">
        <f>IFERROR(AVERAGE(Data!D65), "  ")</f>
        <v>105</v>
      </c>
      <c r="E60" s="42">
        <f>IFERROR(AVERAGE(Data!E65), "  ")</f>
        <v>681</v>
      </c>
      <c r="F60" s="42">
        <f>IFERROR(AVERAGE(Data!F65), "  ")</f>
        <v>591</v>
      </c>
      <c r="G60" s="42">
        <f>IFERROR(AVERAGE(Data!G65), "  ")</f>
        <v>-90</v>
      </c>
      <c r="H60" s="44">
        <f>IFERROR(AVERAGE(Data!H65), "  ")</f>
        <v>-0.11127819548872181</v>
      </c>
      <c r="I60" s="44">
        <f>IFERROR(AVERAGE(Data!I65), "  ")</f>
        <v>0.15423728813559323</v>
      </c>
      <c r="J60" s="42">
        <f>IFERROR(AVERAGE(Data!J65), "  ")</f>
        <v>91</v>
      </c>
      <c r="K60" s="44">
        <f>IFERROR(AVERAGE(Data!K65), "  ")</f>
        <v>0.12144212523719165</v>
      </c>
      <c r="L60" s="45" t="str">
        <f>IFERROR(AVERAGE(Data!L65), "  ")</f>
        <v xml:space="preserve">  </v>
      </c>
    </row>
    <row r="61" spans="1:12" x14ac:dyDescent="0.2">
      <c r="A61" s="43">
        <f>Data!A66</f>
        <v>39053</v>
      </c>
      <c r="B61" s="42">
        <f>IFERROR(AVERAGE(Data!B66), "  ")</f>
        <v>426</v>
      </c>
      <c r="C61" s="42">
        <f>IFERROR(AVERAGE(Data!C66), "  ")</f>
        <v>18</v>
      </c>
      <c r="D61" s="42">
        <f>IFERROR(AVERAGE(Data!D66), "  ")</f>
        <v>103</v>
      </c>
      <c r="E61" s="42">
        <f>IFERROR(AVERAGE(Data!E66), "  ")</f>
        <v>547</v>
      </c>
      <c r="F61" s="42">
        <f>IFERROR(AVERAGE(Data!F66), "  ")</f>
        <v>672</v>
      </c>
      <c r="G61" s="42">
        <f>IFERROR(AVERAGE(Data!G66), "  ")</f>
        <v>125</v>
      </c>
      <c r="H61" s="44">
        <f>IFERROR(AVERAGE(Data!H66), "  ")</f>
        <v>0.13705583756345177</v>
      </c>
      <c r="I61" s="44">
        <f>IFERROR(AVERAGE(Data!I66), "  ")</f>
        <v>-0.19676945668135096</v>
      </c>
      <c r="J61" s="42">
        <f>IFERROR(AVERAGE(Data!J66), "  ")</f>
        <v>-134</v>
      </c>
      <c r="K61" s="44">
        <f>IFERROR(AVERAGE(Data!K66), "  ")</f>
        <v>8.2125603864734303E-2</v>
      </c>
      <c r="L61" s="45" t="str">
        <f>IFERROR(AVERAGE(Data!L66), "  ")</f>
        <v xml:space="preserve">  </v>
      </c>
    </row>
    <row r="62" spans="1:12" x14ac:dyDescent="0.2">
      <c r="A62" s="43">
        <f>Data!A67</f>
        <v>39060</v>
      </c>
      <c r="B62" s="42">
        <f>IFERROR(AVERAGE(Data!B67), "  ")</f>
        <v>524</v>
      </c>
      <c r="C62" s="42">
        <f>IFERROR(AVERAGE(Data!C67), "  ")</f>
        <v>31</v>
      </c>
      <c r="D62" s="42">
        <f>IFERROR(AVERAGE(Data!D67), "  ")</f>
        <v>144</v>
      </c>
      <c r="E62" s="42">
        <f>IFERROR(AVERAGE(Data!E67), "  ")</f>
        <v>699</v>
      </c>
      <c r="F62" s="42">
        <f>IFERROR(AVERAGE(Data!F67), "  ")</f>
        <v>652</v>
      </c>
      <c r="G62" s="42">
        <f>IFERROR(AVERAGE(Data!G67), "  ")</f>
        <v>-47</v>
      </c>
      <c r="H62" s="44">
        <f>IFERROR(AVERAGE(Data!H67), "  ")</f>
        <v>-2.976190476190476E-2</v>
      </c>
      <c r="I62" s="44">
        <f>IFERROR(AVERAGE(Data!I67), "  ")</f>
        <v>0.27787934186471663</v>
      </c>
      <c r="J62" s="42">
        <f>IFERROR(AVERAGE(Data!J67), "  ")</f>
        <v>152</v>
      </c>
      <c r="K62" s="44">
        <f>IFERROR(AVERAGE(Data!K67), "  ")</f>
        <v>-3.4074074074074076E-2</v>
      </c>
      <c r="L62" s="45" t="str">
        <f>IFERROR(AVERAGE(Data!L67), "  ")</f>
        <v xml:space="preserve">  </v>
      </c>
    </row>
    <row r="63" spans="1:12" x14ac:dyDescent="0.2">
      <c r="A63" s="43">
        <f>Data!A68</f>
        <v>39067</v>
      </c>
      <c r="B63" s="42">
        <f>IFERROR(AVERAGE(Data!B68), "  ")</f>
        <v>545</v>
      </c>
      <c r="C63" s="42">
        <f>IFERROR(AVERAGE(Data!C68), "  ")</f>
        <v>33</v>
      </c>
      <c r="D63" s="42">
        <f>IFERROR(AVERAGE(Data!D68), "  ")</f>
        <v>113</v>
      </c>
      <c r="E63" s="42">
        <f>IFERROR(AVERAGE(Data!E68), "  ")</f>
        <v>691</v>
      </c>
      <c r="F63" s="42">
        <f>IFERROR(AVERAGE(Data!F68), "  ")</f>
        <v>564</v>
      </c>
      <c r="G63" s="42">
        <f>IFERROR(AVERAGE(Data!G68), "  ")</f>
        <v>-127</v>
      </c>
      <c r="H63" s="44">
        <f>IFERROR(AVERAGE(Data!H68), "  ")</f>
        <v>-0.13496932515337423</v>
      </c>
      <c r="I63" s="44">
        <f>IFERROR(AVERAGE(Data!I68), "  ")</f>
        <v>-1.1444921316165951E-2</v>
      </c>
      <c r="J63" s="42">
        <f>IFERROR(AVERAGE(Data!J68), "  ")</f>
        <v>-8</v>
      </c>
      <c r="K63" s="44">
        <f>IFERROR(AVERAGE(Data!K68), "  ")</f>
        <v>6.8181818181818177E-2</v>
      </c>
      <c r="L63" s="45" t="str">
        <f>IFERROR(AVERAGE(Data!L68), "  ")</f>
        <v xml:space="preserve">  </v>
      </c>
    </row>
    <row r="64" spans="1:12" x14ac:dyDescent="0.2">
      <c r="A64" s="43">
        <f>Data!A69</f>
        <v>39074</v>
      </c>
      <c r="B64" s="42">
        <f>IFERROR(AVERAGE(Data!B69), "  ")</f>
        <v>399</v>
      </c>
      <c r="C64" s="42">
        <f>IFERROR(AVERAGE(Data!C69), "  ")</f>
        <v>12</v>
      </c>
      <c r="D64" s="42">
        <f>IFERROR(AVERAGE(Data!D69), "  ")</f>
        <v>82</v>
      </c>
      <c r="E64" s="42">
        <f>IFERROR(AVERAGE(Data!E69), "  ")</f>
        <v>493</v>
      </c>
      <c r="F64" s="42">
        <f>IFERROR(AVERAGE(Data!F69), "  ")</f>
        <v>527</v>
      </c>
      <c r="G64" s="42">
        <f>IFERROR(AVERAGE(Data!G69), "  ")</f>
        <v>34</v>
      </c>
      <c r="H64" s="44">
        <f>IFERROR(AVERAGE(Data!H69), "  ")</f>
        <v>-6.5602836879432622E-2</v>
      </c>
      <c r="I64" s="44">
        <f>IFERROR(AVERAGE(Data!I69), "  ")</f>
        <v>-0.2865412445730825</v>
      </c>
      <c r="J64" s="42">
        <f>IFERROR(AVERAGE(Data!J69), "  ")</f>
        <v>-198</v>
      </c>
      <c r="K64" s="44">
        <f>IFERROR(AVERAGE(Data!K69), "  ")</f>
        <v>0.20871559633027523</v>
      </c>
      <c r="L64" s="45" t="str">
        <f>IFERROR(AVERAGE(Data!L69), "  ")</f>
        <v xml:space="preserve">  </v>
      </c>
    </row>
    <row r="65" spans="1:12" x14ac:dyDescent="0.2">
      <c r="A65" s="43">
        <f>Data!A70</f>
        <v>39081</v>
      </c>
      <c r="B65" s="42">
        <f>IFERROR(AVERAGE(Data!B70), "  ")</f>
        <v>236</v>
      </c>
      <c r="C65" s="42">
        <f>IFERROR(AVERAGE(Data!C70), "  ")</f>
        <v>35</v>
      </c>
      <c r="D65" s="42">
        <f>IFERROR(AVERAGE(Data!D70), "  ")</f>
        <v>107</v>
      </c>
      <c r="E65" s="42">
        <f>IFERROR(AVERAGE(Data!E70), "  ")</f>
        <v>378</v>
      </c>
      <c r="F65" s="42">
        <f>IFERROR(AVERAGE(Data!F70), "  ")</f>
        <v>494</v>
      </c>
      <c r="G65" s="42">
        <f>IFERROR(AVERAGE(Data!G70), "  ")</f>
        <v>116</v>
      </c>
      <c r="H65" s="44">
        <f>IFERROR(AVERAGE(Data!H70), "  ")</f>
        <v>-6.2618595825426948E-2</v>
      </c>
      <c r="I65" s="44">
        <f>IFERROR(AVERAGE(Data!I70), "  ")</f>
        <v>-0.23326572008113591</v>
      </c>
      <c r="J65" s="42">
        <f>IFERROR(AVERAGE(Data!J70), "  ")</f>
        <v>-115</v>
      </c>
      <c r="K65" s="44">
        <f>IFERROR(AVERAGE(Data!K70), "  ")</f>
        <v>-3.1372549019607843E-2</v>
      </c>
      <c r="L65" s="45" t="str">
        <f>IFERROR(AVERAGE(Data!L70), "  ")</f>
        <v xml:space="preserve">  </v>
      </c>
    </row>
    <row r="66" spans="1:12" x14ac:dyDescent="0.2">
      <c r="A66" s="43">
        <f>Data!A71</f>
        <v>39088</v>
      </c>
      <c r="B66" s="42">
        <f>IFERROR(AVERAGE(Data!B71), "  ")</f>
        <v>229</v>
      </c>
      <c r="C66" s="42">
        <f>IFERROR(AVERAGE(Data!C71), "  ")</f>
        <v>21</v>
      </c>
      <c r="D66" s="42">
        <f>IFERROR(AVERAGE(Data!D71), "  ")</f>
        <v>54</v>
      </c>
      <c r="E66" s="42">
        <f>IFERROR(AVERAGE(Data!E71), "  ")</f>
        <v>304</v>
      </c>
      <c r="F66" s="42">
        <f>IFERROR(AVERAGE(Data!F71), "  ")</f>
        <v>580</v>
      </c>
      <c r="G66" s="42">
        <f>IFERROR(AVERAGE(Data!G71), "  ")</f>
        <v>276</v>
      </c>
      <c r="H66" s="44">
        <f>IFERROR(AVERAGE(Data!H71), "  ")</f>
        <v>0.17408906882591094</v>
      </c>
      <c r="I66" s="44">
        <f>IFERROR(AVERAGE(Data!I71), "  ")</f>
        <v>-0.19576719576719576</v>
      </c>
      <c r="J66" s="42">
        <f>IFERROR(AVERAGE(Data!J71), "  ")</f>
        <v>-74</v>
      </c>
      <c r="K66" s="44">
        <f>IFERROR(AVERAGE(Data!K71), "  ")</f>
        <v>-9.375E-2</v>
      </c>
      <c r="L66" s="45" t="str">
        <f>IFERROR(AVERAGE(Data!L71), "  ")</f>
        <v xml:space="preserve">  </v>
      </c>
    </row>
    <row r="67" spans="1:12" x14ac:dyDescent="0.2">
      <c r="A67" s="43">
        <f>Data!A72</f>
        <v>39095</v>
      </c>
      <c r="B67" s="42">
        <f>IFERROR(AVERAGE(Data!B72), "  ")</f>
        <v>321</v>
      </c>
      <c r="C67" s="42">
        <f>IFERROR(AVERAGE(Data!C72), "  ")</f>
        <v>25</v>
      </c>
      <c r="D67" s="42">
        <f>IFERROR(AVERAGE(Data!D72), "  ")</f>
        <v>162</v>
      </c>
      <c r="E67" s="42">
        <f>IFERROR(AVERAGE(Data!E72), "  ")</f>
        <v>508</v>
      </c>
      <c r="F67" s="42">
        <f>IFERROR(AVERAGE(Data!F72), "  ")</f>
        <v>773</v>
      </c>
      <c r="G67" s="42">
        <f>IFERROR(AVERAGE(Data!G72), "  ")</f>
        <v>265</v>
      </c>
      <c r="H67" s="44">
        <f>IFERROR(AVERAGE(Data!H72), "  ")</f>
        <v>0.33275862068965517</v>
      </c>
      <c r="I67" s="44">
        <f>IFERROR(AVERAGE(Data!I72), "  ")</f>
        <v>0.67105263157894735</v>
      </c>
      <c r="J67" s="42">
        <f>IFERROR(AVERAGE(Data!J72), "  ")</f>
        <v>204</v>
      </c>
      <c r="K67" s="44">
        <f>IFERROR(AVERAGE(Data!K72), "  ")</f>
        <v>7.5104311543810851E-2</v>
      </c>
      <c r="L67" s="45" t="str">
        <f>IFERROR(AVERAGE(Data!L72), "  ")</f>
        <v xml:space="preserve">  </v>
      </c>
    </row>
    <row r="68" spans="1:12" x14ac:dyDescent="0.2">
      <c r="A68" s="43">
        <f>Data!A73</f>
        <v>39102</v>
      </c>
      <c r="B68" s="42">
        <f>IFERROR(AVERAGE(Data!B73), "  ")</f>
        <v>218</v>
      </c>
      <c r="C68" s="42">
        <f>IFERROR(AVERAGE(Data!C73), "  ")</f>
        <v>20</v>
      </c>
      <c r="D68" s="42">
        <f>IFERROR(AVERAGE(Data!D73), "  ")</f>
        <v>170</v>
      </c>
      <c r="E68" s="42">
        <f>IFERROR(AVERAGE(Data!E73), "  ")</f>
        <v>408</v>
      </c>
      <c r="F68" s="42">
        <f>IFERROR(AVERAGE(Data!F73), "  ")</f>
        <v>669</v>
      </c>
      <c r="G68" s="42">
        <f>IFERROR(AVERAGE(Data!G73), "  ")</f>
        <v>261</v>
      </c>
      <c r="H68" s="44">
        <f>IFERROR(AVERAGE(Data!H73), "  ")</f>
        <v>-0.13454075032341525</v>
      </c>
      <c r="I68" s="44">
        <f>IFERROR(AVERAGE(Data!I73), "  ")</f>
        <v>-0.19685039370078741</v>
      </c>
      <c r="J68" s="42">
        <f>IFERROR(AVERAGE(Data!J73), "  ")</f>
        <v>-100</v>
      </c>
      <c r="K68" s="44">
        <f>IFERROR(AVERAGE(Data!K73), "  ")</f>
        <v>0.13389830508474576</v>
      </c>
      <c r="L68" s="45" t="str">
        <f>IFERROR(AVERAGE(Data!L73), "  ")</f>
        <v xml:space="preserve">  </v>
      </c>
    </row>
    <row r="69" spans="1:12" x14ac:dyDescent="0.2">
      <c r="A69" s="43">
        <f>Data!A74</f>
        <v>39109</v>
      </c>
      <c r="B69" s="42">
        <f>IFERROR(AVERAGE(Data!B74), "  ")</f>
        <v>269</v>
      </c>
      <c r="C69" s="42">
        <f>IFERROR(AVERAGE(Data!C74), "  ")</f>
        <v>19</v>
      </c>
      <c r="D69" s="42">
        <f>IFERROR(AVERAGE(Data!D74), "  ")</f>
        <v>129</v>
      </c>
      <c r="E69" s="42">
        <f>IFERROR(AVERAGE(Data!E74), "  ")</f>
        <v>417</v>
      </c>
      <c r="F69" s="42">
        <f>IFERROR(AVERAGE(Data!F74), "  ")</f>
        <v>701</v>
      </c>
      <c r="G69" s="42">
        <f>IFERROR(AVERAGE(Data!G74), "  ")</f>
        <v>284</v>
      </c>
      <c r="H69" s="44">
        <f>IFERROR(AVERAGE(Data!H74), "  ")</f>
        <v>4.7832585949177879E-2</v>
      </c>
      <c r="I69" s="44">
        <f>IFERROR(AVERAGE(Data!I74), "  ")</f>
        <v>2.2058823529411766E-2</v>
      </c>
      <c r="J69" s="42">
        <f>IFERROR(AVERAGE(Data!J74), "  ")</f>
        <v>9</v>
      </c>
      <c r="K69" s="44">
        <f>IFERROR(AVERAGE(Data!K74), "  ")</f>
        <v>-6.2834224598930483E-2</v>
      </c>
      <c r="L69" s="45" t="str">
        <f>IFERROR(AVERAGE(Data!L74), "  ")</f>
        <v xml:space="preserve">  </v>
      </c>
    </row>
    <row r="70" spans="1:12" x14ac:dyDescent="0.2">
      <c r="A70" s="43">
        <f>Data!A75</f>
        <v>39116</v>
      </c>
      <c r="B70" s="42">
        <f>IFERROR(AVERAGE(Data!B75), "  ")</f>
        <v>115</v>
      </c>
      <c r="C70" s="42">
        <f>IFERROR(AVERAGE(Data!C75), "  ")</f>
        <v>31</v>
      </c>
      <c r="D70" s="42">
        <f>IFERROR(AVERAGE(Data!D75), "  ")</f>
        <v>135</v>
      </c>
      <c r="E70" s="42">
        <f>IFERROR(AVERAGE(Data!E75), "  ")</f>
        <v>281</v>
      </c>
      <c r="F70" s="42">
        <f>IFERROR(AVERAGE(Data!F75), "  ")</f>
        <v>689</v>
      </c>
      <c r="G70" s="42">
        <f>IFERROR(AVERAGE(Data!G75), "  ")</f>
        <v>408</v>
      </c>
      <c r="H70" s="44">
        <f>IFERROR(AVERAGE(Data!H75), "  ")</f>
        <v>-1.7118402282453638E-2</v>
      </c>
      <c r="I70" s="44">
        <f>IFERROR(AVERAGE(Data!I75), "  ")</f>
        <v>-0.32613908872901681</v>
      </c>
      <c r="J70" s="42">
        <f>IFERROR(AVERAGE(Data!J75), "  ")</f>
        <v>-136</v>
      </c>
      <c r="K70" s="44">
        <f>IFERROR(AVERAGE(Data!K75), "  ")</f>
        <v>-1.4492753623188406E-3</v>
      </c>
      <c r="L70" s="45" t="str">
        <f>IFERROR(AVERAGE(Data!L75), "  ")</f>
        <v xml:space="preserve">  </v>
      </c>
    </row>
    <row r="71" spans="1:12" x14ac:dyDescent="0.2">
      <c r="A71" s="43">
        <f>Data!A76</f>
        <v>39123</v>
      </c>
      <c r="B71" s="42">
        <f>IFERROR(AVERAGE(Data!B76), "  ")</f>
        <v>142</v>
      </c>
      <c r="C71" s="42">
        <f>IFERROR(AVERAGE(Data!C76), "  ")</f>
        <v>21</v>
      </c>
      <c r="D71" s="42">
        <f>IFERROR(AVERAGE(Data!D76), "  ")</f>
        <v>92</v>
      </c>
      <c r="E71" s="42">
        <f>IFERROR(AVERAGE(Data!E76), "  ")</f>
        <v>255</v>
      </c>
      <c r="F71" s="42">
        <f>IFERROR(AVERAGE(Data!F76), "  ")</f>
        <v>759</v>
      </c>
      <c r="G71" s="42">
        <f>IFERROR(AVERAGE(Data!G76), "  ")</f>
        <v>504</v>
      </c>
      <c r="H71" s="44">
        <f>IFERROR(AVERAGE(Data!H76), "  ")</f>
        <v>0.10159651669085631</v>
      </c>
      <c r="I71" s="44">
        <f>IFERROR(AVERAGE(Data!I76), "  ")</f>
        <v>-9.2526690391459068E-2</v>
      </c>
      <c r="J71" s="42">
        <f>IFERROR(AVERAGE(Data!J76), "  ")</f>
        <v>-26</v>
      </c>
      <c r="K71" s="44">
        <f>IFERROR(AVERAGE(Data!K76), "  ")</f>
        <v>9.5238095238095233E-2</v>
      </c>
      <c r="L71" s="45" t="str">
        <f>IFERROR(AVERAGE(Data!L76), "  ")</f>
        <v xml:space="preserve">  </v>
      </c>
    </row>
    <row r="72" spans="1:12" x14ac:dyDescent="0.2">
      <c r="A72" s="43">
        <f>Data!A77</f>
        <v>39130</v>
      </c>
      <c r="B72" s="42">
        <f>IFERROR(AVERAGE(Data!B77), "  ")</f>
        <v>23</v>
      </c>
      <c r="C72" s="42">
        <f>IFERROR(AVERAGE(Data!C77), "  ")</f>
        <v>29</v>
      </c>
      <c r="D72" s="42">
        <f>IFERROR(AVERAGE(Data!D77), "  ")</f>
        <v>165</v>
      </c>
      <c r="E72" s="42">
        <f>IFERROR(AVERAGE(Data!E77), "  ")</f>
        <v>217</v>
      </c>
      <c r="F72" s="42">
        <f>IFERROR(AVERAGE(Data!F77), "  ")</f>
        <v>920</v>
      </c>
      <c r="G72" s="42">
        <f>IFERROR(AVERAGE(Data!G77), "  ")</f>
        <v>703</v>
      </c>
      <c r="H72" s="44">
        <f>IFERROR(AVERAGE(Data!H77), "  ")</f>
        <v>0.21212121212121213</v>
      </c>
      <c r="I72" s="44">
        <f>IFERROR(AVERAGE(Data!I77), "  ")</f>
        <v>-0.14901960784313725</v>
      </c>
      <c r="J72" s="42">
        <f>IFERROR(AVERAGE(Data!J77), "  ")</f>
        <v>-38</v>
      </c>
      <c r="K72" s="44">
        <f>IFERROR(AVERAGE(Data!K77), "  ")</f>
        <v>0.4263565891472868</v>
      </c>
      <c r="L72" s="45" t="str">
        <f>IFERROR(AVERAGE(Data!L77), "  ")</f>
        <v xml:space="preserve">  </v>
      </c>
    </row>
    <row r="73" spans="1:12" x14ac:dyDescent="0.2">
      <c r="A73" s="43">
        <f>Data!A78</f>
        <v>39137</v>
      </c>
      <c r="B73" s="42">
        <f>IFERROR(AVERAGE(Data!B78), "  ")</f>
        <v>22</v>
      </c>
      <c r="C73" s="42">
        <f>IFERROR(AVERAGE(Data!C78), "  ")</f>
        <v>18</v>
      </c>
      <c r="D73" s="42">
        <f>IFERROR(AVERAGE(Data!D78), "  ")</f>
        <v>150</v>
      </c>
      <c r="E73" s="42">
        <f>IFERROR(AVERAGE(Data!E78), "  ")</f>
        <v>190</v>
      </c>
      <c r="F73" s="42">
        <f>IFERROR(AVERAGE(Data!F78), "  ")</f>
        <v>773</v>
      </c>
      <c r="G73" s="42">
        <f>IFERROR(AVERAGE(Data!G78), "  ")</f>
        <v>583</v>
      </c>
      <c r="H73" s="44">
        <f>IFERROR(AVERAGE(Data!H78), "  ")</f>
        <v>-0.15978260869565217</v>
      </c>
      <c r="I73" s="44">
        <f>IFERROR(AVERAGE(Data!I78), "  ")</f>
        <v>-0.12442396313364056</v>
      </c>
      <c r="J73" s="42">
        <f>IFERROR(AVERAGE(Data!J78), "  ")</f>
        <v>-27</v>
      </c>
      <c r="K73" s="44">
        <f>IFERROR(AVERAGE(Data!K78), "  ")</f>
        <v>0.38282647584973167</v>
      </c>
      <c r="L73" s="45" t="str">
        <f>IFERROR(AVERAGE(Data!L78), "  ")</f>
        <v xml:space="preserve">  </v>
      </c>
    </row>
    <row r="74" spans="1:12" x14ac:dyDescent="0.2">
      <c r="A74" s="43">
        <f>Data!A79</f>
        <v>39144</v>
      </c>
      <c r="B74" s="42">
        <f>IFERROR(AVERAGE(Data!B79), "  ")</f>
        <v>204</v>
      </c>
      <c r="C74" s="42">
        <f>IFERROR(AVERAGE(Data!C79), "  ")</f>
        <v>42</v>
      </c>
      <c r="D74" s="42">
        <f>IFERROR(AVERAGE(Data!D79), "  ")</f>
        <v>155</v>
      </c>
      <c r="E74" s="42">
        <f>IFERROR(AVERAGE(Data!E79), "  ")</f>
        <v>401</v>
      </c>
      <c r="F74" s="42">
        <f>IFERROR(AVERAGE(Data!F79), "  ")</f>
        <v>734</v>
      </c>
      <c r="G74" s="42">
        <f>IFERROR(AVERAGE(Data!G79), "  ")</f>
        <v>333</v>
      </c>
      <c r="H74" s="44">
        <f>IFERROR(AVERAGE(Data!H79), "  ")</f>
        <v>-5.0452781371280724E-2</v>
      </c>
      <c r="I74" s="44">
        <f>IFERROR(AVERAGE(Data!I79), "  ")</f>
        <v>1.1105263157894736</v>
      </c>
      <c r="J74" s="42">
        <f>IFERROR(AVERAGE(Data!J79), "  ")</f>
        <v>211</v>
      </c>
      <c r="K74" s="44">
        <f>IFERROR(AVERAGE(Data!K79), "  ")</f>
        <v>0.14866979655712051</v>
      </c>
      <c r="L74" s="45" t="str">
        <f>IFERROR(AVERAGE(Data!L79), "  ")</f>
        <v xml:space="preserve">  </v>
      </c>
    </row>
    <row r="75" spans="1:12" x14ac:dyDescent="0.2">
      <c r="A75" s="43">
        <f>Data!A80</f>
        <v>39151</v>
      </c>
      <c r="B75" s="42">
        <f>IFERROR(AVERAGE(Data!B80), "  ")</f>
        <v>271</v>
      </c>
      <c r="C75" s="42">
        <f>IFERROR(AVERAGE(Data!C80), "  ")</f>
        <v>26</v>
      </c>
      <c r="D75" s="42">
        <f>IFERROR(AVERAGE(Data!D80), "  ")</f>
        <v>158</v>
      </c>
      <c r="E75" s="42">
        <f>IFERROR(AVERAGE(Data!E80), "  ")</f>
        <v>455</v>
      </c>
      <c r="F75" s="42">
        <f>IFERROR(AVERAGE(Data!F80), "  ")</f>
        <v>650</v>
      </c>
      <c r="G75" s="42">
        <f>IFERROR(AVERAGE(Data!G80), "  ")</f>
        <v>195</v>
      </c>
      <c r="H75" s="44">
        <f>IFERROR(AVERAGE(Data!H80), "  ")</f>
        <v>-0.11444141689373297</v>
      </c>
      <c r="I75" s="44">
        <f>IFERROR(AVERAGE(Data!I80), "  ")</f>
        <v>0.13466334164588528</v>
      </c>
      <c r="J75" s="42">
        <f>IFERROR(AVERAGE(Data!J80), "  ")</f>
        <v>54</v>
      </c>
      <c r="K75" s="44">
        <f>IFERROR(AVERAGE(Data!K80), "  ")</f>
        <v>2.0408163265306121E-2</v>
      </c>
      <c r="L75" s="45" t="str">
        <f>IFERROR(AVERAGE(Data!L80), "  ")</f>
        <v xml:space="preserve">  </v>
      </c>
    </row>
    <row r="76" spans="1:12" x14ac:dyDescent="0.2">
      <c r="A76" s="43">
        <f>Data!A81</f>
        <v>39158</v>
      </c>
      <c r="B76" s="42">
        <f>IFERROR(AVERAGE(Data!B81), "  ")</f>
        <v>262</v>
      </c>
      <c r="C76" s="42">
        <f>IFERROR(AVERAGE(Data!C81), "  ")</f>
        <v>41</v>
      </c>
      <c r="D76" s="42">
        <f>IFERROR(AVERAGE(Data!D81), "  ")</f>
        <v>105</v>
      </c>
      <c r="E76" s="42">
        <f>IFERROR(AVERAGE(Data!E81), "  ")</f>
        <v>408</v>
      </c>
      <c r="F76" s="42">
        <f>IFERROR(AVERAGE(Data!F81), "  ")</f>
        <v>571</v>
      </c>
      <c r="G76" s="42">
        <f>IFERROR(AVERAGE(Data!G81), "  ")</f>
        <v>163</v>
      </c>
      <c r="H76" s="44">
        <f>IFERROR(AVERAGE(Data!H81), "  ")</f>
        <v>-0.12153846153846154</v>
      </c>
      <c r="I76" s="44">
        <f>IFERROR(AVERAGE(Data!I81), "  ")</f>
        <v>-0.10329670329670329</v>
      </c>
      <c r="J76" s="42">
        <f>IFERROR(AVERAGE(Data!J81), "  ")</f>
        <v>-47</v>
      </c>
      <c r="K76" s="44">
        <f>IFERROR(AVERAGE(Data!K81), "  ")</f>
        <v>7.0546737213403876E-3</v>
      </c>
      <c r="L76" s="45" t="str">
        <f>IFERROR(AVERAGE(Data!L81), "  ")</f>
        <v xml:space="preserve">  </v>
      </c>
    </row>
    <row r="77" spans="1:12" x14ac:dyDescent="0.2">
      <c r="A77" s="43">
        <f>Data!A82</f>
        <v>39165</v>
      </c>
      <c r="B77" s="42">
        <f>IFERROR(AVERAGE(Data!B82), "  ")</f>
        <v>307</v>
      </c>
      <c r="C77" s="42">
        <f>IFERROR(AVERAGE(Data!C82), "  ")</f>
        <v>43</v>
      </c>
      <c r="D77" s="42">
        <f>IFERROR(AVERAGE(Data!D82), "  ")</f>
        <v>89</v>
      </c>
      <c r="E77" s="42">
        <f>IFERROR(AVERAGE(Data!E82), "  ")</f>
        <v>439</v>
      </c>
      <c r="F77" s="42">
        <f>IFERROR(AVERAGE(Data!F82), "  ")</f>
        <v>541</v>
      </c>
      <c r="G77" s="42">
        <f>IFERROR(AVERAGE(Data!G82), "  ")</f>
        <v>102</v>
      </c>
      <c r="H77" s="44">
        <f>IFERROR(AVERAGE(Data!H82), "  ")</f>
        <v>-5.2539404553415062E-2</v>
      </c>
      <c r="I77" s="44">
        <f>IFERROR(AVERAGE(Data!I82), "  ")</f>
        <v>7.5980392156862739E-2</v>
      </c>
      <c r="J77" s="42">
        <f>IFERROR(AVERAGE(Data!J82), "  ")</f>
        <v>31</v>
      </c>
      <c r="K77" s="44">
        <f>IFERROR(AVERAGE(Data!K82), "  ")</f>
        <v>0.20222222222222222</v>
      </c>
      <c r="L77" s="45" t="str">
        <f>IFERROR(AVERAGE(Data!L82), "  ")</f>
        <v xml:space="preserve">  </v>
      </c>
    </row>
    <row r="78" spans="1:12" x14ac:dyDescent="0.2">
      <c r="A78" s="43">
        <f>Data!A83</f>
        <v>39172</v>
      </c>
      <c r="B78" s="42">
        <f>IFERROR(AVERAGE(Data!B83), "  ")</f>
        <v>222</v>
      </c>
      <c r="C78" s="42">
        <f>IFERROR(AVERAGE(Data!C83), "  ")</f>
        <v>20</v>
      </c>
      <c r="D78" s="42">
        <f>IFERROR(AVERAGE(Data!D83), "  ")</f>
        <v>55</v>
      </c>
      <c r="E78" s="42">
        <f>IFERROR(AVERAGE(Data!E83), "  ")</f>
        <v>297</v>
      </c>
      <c r="F78" s="42">
        <f>IFERROR(AVERAGE(Data!F83), "  ")</f>
        <v>471</v>
      </c>
      <c r="G78" s="42">
        <f>IFERROR(AVERAGE(Data!G83), "  ")</f>
        <v>174</v>
      </c>
      <c r="H78" s="44">
        <f>IFERROR(AVERAGE(Data!H83), "  ")</f>
        <v>-0.12939001848428835</v>
      </c>
      <c r="I78" s="44">
        <f>IFERROR(AVERAGE(Data!I83), "  ")</f>
        <v>-0.32346241457858771</v>
      </c>
      <c r="J78" s="42">
        <f>IFERROR(AVERAGE(Data!J83), "  ")</f>
        <v>-142</v>
      </c>
      <c r="K78" s="44">
        <f>IFERROR(AVERAGE(Data!K83), "  ")</f>
        <v>0.75092936802973975</v>
      </c>
      <c r="L78" s="45" t="str">
        <f>IFERROR(AVERAGE(Data!L83), "  ")</f>
        <v xml:space="preserve">  </v>
      </c>
    </row>
    <row r="79" spans="1:12" x14ac:dyDescent="0.2">
      <c r="A79" s="43">
        <f>Data!A84</f>
        <v>39179</v>
      </c>
      <c r="B79" s="42">
        <f>IFERROR(AVERAGE(Data!B84), "  ")</f>
        <v>287</v>
      </c>
      <c r="C79" s="42">
        <f>IFERROR(AVERAGE(Data!C84), "  ")</f>
        <v>28</v>
      </c>
      <c r="D79" s="42">
        <f>IFERROR(AVERAGE(Data!D84), "  ")</f>
        <v>62</v>
      </c>
      <c r="E79" s="42">
        <f>IFERROR(AVERAGE(Data!E84), "  ")</f>
        <v>377</v>
      </c>
      <c r="F79" s="42">
        <f>IFERROR(AVERAGE(Data!F84), "  ")</f>
        <v>291</v>
      </c>
      <c r="G79" s="42">
        <f>IFERROR(AVERAGE(Data!G84), "  ")</f>
        <v>-86</v>
      </c>
      <c r="H79" s="44">
        <f>IFERROR(AVERAGE(Data!H84), "  ")</f>
        <v>-0.38216560509554143</v>
      </c>
      <c r="I79" s="44">
        <f>IFERROR(AVERAGE(Data!I84), "  ")</f>
        <v>0.26936026936026936</v>
      </c>
      <c r="J79" s="42">
        <f>IFERROR(AVERAGE(Data!J84), "  ")</f>
        <v>80</v>
      </c>
      <c r="K79" s="44">
        <f>IFERROR(AVERAGE(Data!K84), "  ")</f>
        <v>-0.20273972602739726</v>
      </c>
      <c r="L79" s="45" t="str">
        <f>IFERROR(AVERAGE(Data!L84), "  ")</f>
        <v xml:space="preserve">  </v>
      </c>
    </row>
    <row r="80" spans="1:12" x14ac:dyDescent="0.2">
      <c r="A80" s="43">
        <f>Data!A85</f>
        <v>39186</v>
      </c>
      <c r="B80" s="42">
        <f>IFERROR(AVERAGE(Data!B85), "  ")</f>
        <v>283</v>
      </c>
      <c r="C80" s="42">
        <f>IFERROR(AVERAGE(Data!C85), "  ")</f>
        <v>23</v>
      </c>
      <c r="D80" s="42">
        <f>IFERROR(AVERAGE(Data!D85), "  ")</f>
        <v>33</v>
      </c>
      <c r="E80" s="42">
        <f>IFERROR(AVERAGE(Data!E85), "  ")</f>
        <v>339</v>
      </c>
      <c r="F80" s="42">
        <f>IFERROR(AVERAGE(Data!F85), "  ")</f>
        <v>453</v>
      </c>
      <c r="G80" s="42">
        <f>IFERROR(AVERAGE(Data!G85), "  ")</f>
        <v>114</v>
      </c>
      <c r="H80" s="44">
        <f>IFERROR(AVERAGE(Data!H85), "  ")</f>
        <v>0.55670103092783507</v>
      </c>
      <c r="I80" s="44">
        <f>IFERROR(AVERAGE(Data!I85), "  ")</f>
        <v>-0.10079575596816977</v>
      </c>
      <c r="J80" s="42">
        <f>IFERROR(AVERAGE(Data!J85), "  ")</f>
        <v>-38</v>
      </c>
      <c r="K80" s="44">
        <f>IFERROR(AVERAGE(Data!K85), "  ")</f>
        <v>-2.9978586723768737E-2</v>
      </c>
      <c r="L80" s="45" t="str">
        <f>IFERROR(AVERAGE(Data!L85), "  ")</f>
        <v xml:space="preserve">  </v>
      </c>
    </row>
    <row r="81" spans="1:12" x14ac:dyDescent="0.2">
      <c r="A81" s="43">
        <f>Data!A86</f>
        <v>39193</v>
      </c>
      <c r="B81" s="42">
        <f>IFERROR(AVERAGE(Data!B86), "  ")</f>
        <v>363</v>
      </c>
      <c r="C81" s="42">
        <f>IFERROR(AVERAGE(Data!C86), "  ")</f>
        <v>14</v>
      </c>
      <c r="D81" s="42">
        <f>IFERROR(AVERAGE(Data!D86), "  ")</f>
        <v>41</v>
      </c>
      <c r="E81" s="42">
        <f>IFERROR(AVERAGE(Data!E86), "  ")</f>
        <v>418</v>
      </c>
      <c r="F81" s="42">
        <f>IFERROR(AVERAGE(Data!F86), "  ")</f>
        <v>533</v>
      </c>
      <c r="G81" s="42">
        <f>IFERROR(AVERAGE(Data!G86), "  ")</f>
        <v>115</v>
      </c>
      <c r="H81" s="44">
        <f>IFERROR(AVERAGE(Data!H86), "  ")</f>
        <v>0.17660044150110377</v>
      </c>
      <c r="I81" s="44">
        <f>IFERROR(AVERAGE(Data!I86), "  ")</f>
        <v>0.23303834808259588</v>
      </c>
      <c r="J81" s="42">
        <f>IFERROR(AVERAGE(Data!J86), "  ")</f>
        <v>79</v>
      </c>
      <c r="K81" s="44">
        <f>IFERROR(AVERAGE(Data!K86), "  ")</f>
        <v>-8.5763293310463118E-2</v>
      </c>
      <c r="L81" s="45" t="str">
        <f>IFERROR(AVERAGE(Data!L86), "  ")</f>
        <v xml:space="preserve">  </v>
      </c>
    </row>
    <row r="82" spans="1:12" x14ac:dyDescent="0.2">
      <c r="A82" s="43">
        <f>Data!A87</f>
        <v>39200</v>
      </c>
      <c r="B82" s="42">
        <f>IFERROR(AVERAGE(Data!B87), "  ")</f>
        <v>368</v>
      </c>
      <c r="C82" s="42">
        <f>IFERROR(AVERAGE(Data!C87), "  ")</f>
        <v>23</v>
      </c>
      <c r="D82" s="42">
        <f>IFERROR(AVERAGE(Data!D87), "  ")</f>
        <v>37</v>
      </c>
      <c r="E82" s="42">
        <f>IFERROR(AVERAGE(Data!E87), "  ")</f>
        <v>428</v>
      </c>
      <c r="F82" s="42">
        <f>IFERROR(AVERAGE(Data!F87), "  ")</f>
        <v>581</v>
      </c>
      <c r="G82" s="42">
        <f>IFERROR(AVERAGE(Data!G87), "  ")</f>
        <v>153</v>
      </c>
      <c r="H82" s="44">
        <f>IFERROR(AVERAGE(Data!H87), "  ")</f>
        <v>9.0056285178236398E-2</v>
      </c>
      <c r="I82" s="44">
        <f>IFERROR(AVERAGE(Data!I87), "  ")</f>
        <v>2.3923444976076555E-2</v>
      </c>
      <c r="J82" s="42">
        <f>IFERROR(AVERAGE(Data!J87), "  ")</f>
        <v>10</v>
      </c>
      <c r="K82" s="44">
        <f>IFERROR(AVERAGE(Data!K87), "  ")</f>
        <v>0.38333333333333336</v>
      </c>
      <c r="L82" s="45" t="str">
        <f>IFERROR(AVERAGE(Data!L87), "  ")</f>
        <v xml:space="preserve">  </v>
      </c>
    </row>
    <row r="83" spans="1:12" x14ac:dyDescent="0.2">
      <c r="A83" s="43">
        <f>Data!A88</f>
        <v>39207</v>
      </c>
      <c r="B83" s="42">
        <f>IFERROR(AVERAGE(Data!B88), "  ")</f>
        <v>289</v>
      </c>
      <c r="C83" s="42">
        <f>IFERROR(AVERAGE(Data!C88), "  ")</f>
        <v>29</v>
      </c>
      <c r="D83" s="42">
        <f>IFERROR(AVERAGE(Data!D88), "  ")</f>
        <v>30</v>
      </c>
      <c r="E83" s="42">
        <f>IFERROR(AVERAGE(Data!E88), "  ")</f>
        <v>348</v>
      </c>
      <c r="F83" s="42">
        <f>IFERROR(AVERAGE(Data!F88), "  ")</f>
        <v>559</v>
      </c>
      <c r="G83" s="42">
        <f>IFERROR(AVERAGE(Data!G88), "  ")</f>
        <v>211</v>
      </c>
      <c r="H83" s="44">
        <f>IFERROR(AVERAGE(Data!H88), "  ")</f>
        <v>-3.7865748709122203E-2</v>
      </c>
      <c r="I83" s="44">
        <f>IFERROR(AVERAGE(Data!I88), "  ")</f>
        <v>-0.18691588785046728</v>
      </c>
      <c r="J83" s="42">
        <f>IFERROR(AVERAGE(Data!J88), "  ")</f>
        <v>-80</v>
      </c>
      <c r="K83" s="44">
        <f>IFERROR(AVERAGE(Data!K88), "  ")</f>
        <v>0.40452261306532661</v>
      </c>
      <c r="L83" s="45" t="str">
        <f>IFERROR(AVERAGE(Data!L88), "  ")</f>
        <v xml:space="preserve">  </v>
      </c>
    </row>
    <row r="84" spans="1:12" x14ac:dyDescent="0.2">
      <c r="A84" s="43">
        <f>Data!A89</f>
        <v>39214</v>
      </c>
      <c r="B84" s="42">
        <f>IFERROR(AVERAGE(Data!B89), "  ")</f>
        <v>306</v>
      </c>
      <c r="C84" s="42">
        <f>IFERROR(AVERAGE(Data!C89), "  ")</f>
        <v>20</v>
      </c>
      <c r="D84" s="42">
        <f>IFERROR(AVERAGE(Data!D89), "  ")</f>
        <v>18</v>
      </c>
      <c r="E84" s="42">
        <f>IFERROR(AVERAGE(Data!E89), "  ")</f>
        <v>344</v>
      </c>
      <c r="F84" s="42">
        <f>IFERROR(AVERAGE(Data!F89), "  ")</f>
        <v>397</v>
      </c>
      <c r="G84" s="42">
        <f>IFERROR(AVERAGE(Data!G89), "  ")</f>
        <v>53</v>
      </c>
      <c r="H84" s="44">
        <f>IFERROR(AVERAGE(Data!H89), "  ")</f>
        <v>-0.28980322003577819</v>
      </c>
      <c r="I84" s="44">
        <f>IFERROR(AVERAGE(Data!I89), "  ")</f>
        <v>-1.1494252873563218E-2</v>
      </c>
      <c r="J84" s="42">
        <f>IFERROR(AVERAGE(Data!J89), "  ")</f>
        <v>-4</v>
      </c>
      <c r="K84" s="44">
        <f>IFERROR(AVERAGE(Data!K89), "  ")</f>
        <v>-0.30836236933797911</v>
      </c>
      <c r="L84" s="45" t="str">
        <f>IFERROR(AVERAGE(Data!L89), "  ")</f>
        <v xml:space="preserve">  </v>
      </c>
    </row>
    <row r="85" spans="1:12" x14ac:dyDescent="0.2">
      <c r="A85" s="43">
        <f>Data!A90</f>
        <v>39221</v>
      </c>
      <c r="B85" s="42">
        <f>IFERROR(AVERAGE(Data!B90), "  ")</f>
        <v>434</v>
      </c>
      <c r="C85" s="42">
        <f>IFERROR(AVERAGE(Data!C90), "  ")</f>
        <v>11</v>
      </c>
      <c r="D85" s="42">
        <f>IFERROR(AVERAGE(Data!D90), "  ")</f>
        <v>24</v>
      </c>
      <c r="E85" s="42">
        <f>IFERROR(AVERAGE(Data!E90), "  ")</f>
        <v>469</v>
      </c>
      <c r="F85" s="42">
        <f>IFERROR(AVERAGE(Data!F90), "  ")</f>
        <v>381</v>
      </c>
      <c r="G85" s="42">
        <f>IFERROR(AVERAGE(Data!G90), "  ")</f>
        <v>-88</v>
      </c>
      <c r="H85" s="44">
        <f>IFERROR(AVERAGE(Data!H90), "  ")</f>
        <v>-4.0302267002518891E-2</v>
      </c>
      <c r="I85" s="44">
        <f>IFERROR(AVERAGE(Data!I90), "  ")</f>
        <v>0.36337209302325579</v>
      </c>
      <c r="J85" s="42">
        <f>IFERROR(AVERAGE(Data!J90), "  ")</f>
        <v>125</v>
      </c>
      <c r="K85" s="44">
        <f>IFERROR(AVERAGE(Data!K90), "  ")</f>
        <v>-0.35204081632653061</v>
      </c>
      <c r="L85" s="45" t="str">
        <f>IFERROR(AVERAGE(Data!L90), "  ")</f>
        <v xml:space="preserve">  </v>
      </c>
    </row>
    <row r="86" spans="1:12" x14ac:dyDescent="0.2">
      <c r="A86" s="43">
        <f>Data!A91</f>
        <v>39228</v>
      </c>
      <c r="B86" s="42">
        <f>IFERROR(AVERAGE(Data!B91), "  ")</f>
        <v>416</v>
      </c>
      <c r="C86" s="42">
        <f>IFERROR(AVERAGE(Data!C91), "  ")</f>
        <v>6</v>
      </c>
      <c r="D86" s="42">
        <f>IFERROR(AVERAGE(Data!D91), "  ")</f>
        <v>29</v>
      </c>
      <c r="E86" s="42">
        <f>IFERROR(AVERAGE(Data!E91), "  ")</f>
        <v>451</v>
      </c>
      <c r="F86" s="42">
        <f>IFERROR(AVERAGE(Data!F91), "  ")</f>
        <v>454</v>
      </c>
      <c r="G86" s="42">
        <f>IFERROR(AVERAGE(Data!G91), "  ")</f>
        <v>3</v>
      </c>
      <c r="H86" s="44">
        <f>IFERROR(AVERAGE(Data!H91), "  ")</f>
        <v>0.19160104986876642</v>
      </c>
      <c r="I86" s="44">
        <f>IFERROR(AVERAGE(Data!I91), "  ")</f>
        <v>-3.8379530916844352E-2</v>
      </c>
      <c r="J86" s="42">
        <f>IFERROR(AVERAGE(Data!J91), "  ")</f>
        <v>-18</v>
      </c>
      <c r="K86" s="44">
        <f>IFERROR(AVERAGE(Data!K91), "  ")</f>
        <v>-0.2581699346405229</v>
      </c>
      <c r="L86" s="45" t="str">
        <f>IFERROR(AVERAGE(Data!L91), "  ")</f>
        <v xml:space="preserve">  </v>
      </c>
    </row>
    <row r="87" spans="1:12" x14ac:dyDescent="0.2">
      <c r="A87" s="43">
        <f>Data!A92</f>
        <v>39235</v>
      </c>
      <c r="B87" s="42">
        <f>IFERROR(AVERAGE(Data!B92), "  ")</f>
        <v>394</v>
      </c>
      <c r="C87" s="42">
        <f>IFERROR(AVERAGE(Data!C92), "  ")</f>
        <v>16</v>
      </c>
      <c r="D87" s="42">
        <f>IFERROR(AVERAGE(Data!D92), "  ")</f>
        <v>17</v>
      </c>
      <c r="E87" s="42">
        <f>IFERROR(AVERAGE(Data!E92), "  ")</f>
        <v>427</v>
      </c>
      <c r="F87" s="42">
        <f>IFERROR(AVERAGE(Data!F92), "  ")</f>
        <v>466</v>
      </c>
      <c r="G87" s="42">
        <f>IFERROR(AVERAGE(Data!G92), "  ")</f>
        <v>39</v>
      </c>
      <c r="H87" s="44">
        <f>IFERROR(AVERAGE(Data!H92), "  ")</f>
        <v>2.643171806167401E-2</v>
      </c>
      <c r="I87" s="44">
        <f>IFERROR(AVERAGE(Data!I92), "  ")</f>
        <v>-5.3215077605321508E-2</v>
      </c>
      <c r="J87" s="42">
        <f>IFERROR(AVERAGE(Data!J92), "  ")</f>
        <v>-24</v>
      </c>
      <c r="K87" s="44">
        <f>IFERROR(AVERAGE(Data!K92), "  ")</f>
        <v>-0.17375886524822695</v>
      </c>
      <c r="L87" s="45" t="str">
        <f>IFERROR(AVERAGE(Data!L92), "  ")</f>
        <v xml:space="preserve">  </v>
      </c>
    </row>
    <row r="88" spans="1:12" x14ac:dyDescent="0.2">
      <c r="A88" s="43">
        <f>Data!A93</f>
        <v>39242</v>
      </c>
      <c r="B88" s="42">
        <f>IFERROR(AVERAGE(Data!B93), "  ")</f>
        <v>423</v>
      </c>
      <c r="C88" s="42">
        <f>IFERROR(AVERAGE(Data!C93), "  ")</f>
        <v>31</v>
      </c>
      <c r="D88" s="42">
        <f>IFERROR(AVERAGE(Data!D93), "  ")</f>
        <v>46</v>
      </c>
      <c r="E88" s="42">
        <f>IFERROR(AVERAGE(Data!E93), "  ")</f>
        <v>500</v>
      </c>
      <c r="F88" s="42">
        <f>IFERROR(AVERAGE(Data!F93), "  ")</f>
        <v>483</v>
      </c>
      <c r="G88" s="42">
        <f>IFERROR(AVERAGE(Data!G93), "  ")</f>
        <v>-17</v>
      </c>
      <c r="H88" s="44">
        <f>IFERROR(AVERAGE(Data!H93), "  ")</f>
        <v>3.6480686695278972E-2</v>
      </c>
      <c r="I88" s="44">
        <f>IFERROR(AVERAGE(Data!I93), "  ")</f>
        <v>0.17096018735362997</v>
      </c>
      <c r="J88" s="42">
        <f>IFERROR(AVERAGE(Data!J93), "  ")</f>
        <v>73</v>
      </c>
      <c r="K88" s="44">
        <f>IFERROR(AVERAGE(Data!K93), "  ")</f>
        <v>-8.8679245283018862E-2</v>
      </c>
      <c r="L88" s="45" t="str">
        <f>IFERROR(AVERAGE(Data!L93), "  ")</f>
        <v xml:space="preserve">  </v>
      </c>
    </row>
    <row r="89" spans="1:12" x14ac:dyDescent="0.2">
      <c r="A89" s="43">
        <f>Data!A94</f>
        <v>39249</v>
      </c>
      <c r="B89" s="42">
        <f>IFERROR(AVERAGE(Data!B94), "  ")</f>
        <v>505</v>
      </c>
      <c r="C89" s="42">
        <f>IFERROR(AVERAGE(Data!C94), "  ")</f>
        <v>14</v>
      </c>
      <c r="D89" s="42">
        <f>IFERROR(AVERAGE(Data!D94), "  ")</f>
        <v>43</v>
      </c>
      <c r="E89" s="42">
        <f>IFERROR(AVERAGE(Data!E94), "  ")</f>
        <v>562</v>
      </c>
      <c r="F89" s="42">
        <f>IFERROR(AVERAGE(Data!F94), "  ")</f>
        <v>544</v>
      </c>
      <c r="G89" s="42">
        <f>IFERROR(AVERAGE(Data!G94), "  ")</f>
        <v>-18</v>
      </c>
      <c r="H89" s="44">
        <f>IFERROR(AVERAGE(Data!H94), "  ")</f>
        <v>0.12629399585921325</v>
      </c>
      <c r="I89" s="44">
        <f>IFERROR(AVERAGE(Data!I94), "  ")</f>
        <v>0.124</v>
      </c>
      <c r="J89" s="42">
        <f>IFERROR(AVERAGE(Data!J94), "  ")</f>
        <v>62</v>
      </c>
      <c r="K89" s="44">
        <f>IFERROR(AVERAGE(Data!K94), "  ")</f>
        <v>2.4482109227871938E-2</v>
      </c>
      <c r="L89" s="45" t="str">
        <f>IFERROR(AVERAGE(Data!L94), "  ")</f>
        <v xml:space="preserve">  </v>
      </c>
    </row>
    <row r="90" spans="1:12" x14ac:dyDescent="0.2">
      <c r="A90" s="43">
        <f>Data!A95</f>
        <v>39256</v>
      </c>
      <c r="B90" s="42">
        <f>IFERROR(AVERAGE(Data!B95), "  ")</f>
        <v>389</v>
      </c>
      <c r="C90" s="42">
        <f>IFERROR(AVERAGE(Data!C95), "  ")</f>
        <v>14</v>
      </c>
      <c r="D90" s="42">
        <f>IFERROR(AVERAGE(Data!D95), "  ")</f>
        <v>25</v>
      </c>
      <c r="E90" s="42">
        <f>IFERROR(AVERAGE(Data!E95), "  ")</f>
        <v>428</v>
      </c>
      <c r="F90" s="42">
        <f>IFERROR(AVERAGE(Data!F95), "  ")</f>
        <v>490</v>
      </c>
      <c r="G90" s="42">
        <f>IFERROR(AVERAGE(Data!G95), "  ")</f>
        <v>62</v>
      </c>
      <c r="H90" s="44">
        <f>IFERROR(AVERAGE(Data!H95), "  ")</f>
        <v>-9.9264705882352935E-2</v>
      </c>
      <c r="I90" s="44">
        <f>IFERROR(AVERAGE(Data!I95), "  ")</f>
        <v>-0.23843416370106763</v>
      </c>
      <c r="J90" s="42">
        <f>IFERROR(AVERAGE(Data!J95), "  ")</f>
        <v>-134</v>
      </c>
      <c r="K90" s="44">
        <f>IFERROR(AVERAGE(Data!K95), "  ")</f>
        <v>0.1111111111111111</v>
      </c>
      <c r="L90" s="45" t="str">
        <f>IFERROR(AVERAGE(Data!L95), "  ")</f>
        <v xml:space="preserve">  </v>
      </c>
    </row>
    <row r="91" spans="1:12" x14ac:dyDescent="0.2">
      <c r="A91" s="43">
        <f>Data!A96</f>
        <v>39263</v>
      </c>
      <c r="B91" s="42">
        <f>IFERROR(AVERAGE(Data!B96), "  ")</f>
        <v>429</v>
      </c>
      <c r="C91" s="42">
        <f>IFERROR(AVERAGE(Data!C96), "  ")</f>
        <v>6</v>
      </c>
      <c r="D91" s="42">
        <f>IFERROR(AVERAGE(Data!D96), "  ")</f>
        <v>23</v>
      </c>
      <c r="E91" s="42">
        <f>IFERROR(AVERAGE(Data!E96), "  ")</f>
        <v>458</v>
      </c>
      <c r="F91" s="42">
        <f>IFERROR(AVERAGE(Data!F96), "  ")</f>
        <v>469</v>
      </c>
      <c r="G91" s="42">
        <f>IFERROR(AVERAGE(Data!G96), "  ")</f>
        <v>11</v>
      </c>
      <c r="H91" s="44">
        <f>IFERROR(AVERAGE(Data!H96), "  ")</f>
        <v>-4.2857142857142858E-2</v>
      </c>
      <c r="I91" s="44">
        <f>IFERROR(AVERAGE(Data!I96), "  ")</f>
        <v>7.0093457943925228E-2</v>
      </c>
      <c r="J91" s="42">
        <f>IFERROR(AVERAGE(Data!J96), "  ")</f>
        <v>30</v>
      </c>
      <c r="K91" s="44">
        <f>IFERROR(AVERAGE(Data!K96), "  ")</f>
        <v>-1.2631578947368421E-2</v>
      </c>
      <c r="L91" s="45" t="str">
        <f>IFERROR(AVERAGE(Data!L96), "  ")</f>
        <v xml:space="preserve">  </v>
      </c>
    </row>
    <row r="92" spans="1:12" x14ac:dyDescent="0.2">
      <c r="A92" s="43">
        <f>Data!A97</f>
        <v>39270</v>
      </c>
      <c r="B92" s="42">
        <f>IFERROR(AVERAGE(Data!B97), "  ")</f>
        <v>531</v>
      </c>
      <c r="C92" s="42">
        <f>IFERROR(AVERAGE(Data!C97), "  ")</f>
        <v>20</v>
      </c>
      <c r="D92" s="42">
        <f>IFERROR(AVERAGE(Data!D97), "  ")</f>
        <v>27</v>
      </c>
      <c r="E92" s="42">
        <f>IFERROR(AVERAGE(Data!E97), "  ")</f>
        <v>578</v>
      </c>
      <c r="F92" s="42">
        <f>IFERROR(AVERAGE(Data!F97), "  ")</f>
        <v>352</v>
      </c>
      <c r="G92" s="42">
        <f>IFERROR(AVERAGE(Data!G97), "  ")</f>
        <v>-226</v>
      </c>
      <c r="H92" s="44">
        <f>IFERROR(AVERAGE(Data!H97), "  ")</f>
        <v>-0.24946695095948826</v>
      </c>
      <c r="I92" s="44">
        <f>IFERROR(AVERAGE(Data!I97), "  ")</f>
        <v>0.26200873362445415</v>
      </c>
      <c r="J92" s="42">
        <f>IFERROR(AVERAGE(Data!J97), "  ")</f>
        <v>120</v>
      </c>
      <c r="K92" s="44">
        <f>IFERROR(AVERAGE(Data!K97), "  ")</f>
        <v>-0.22466960352422907</v>
      </c>
      <c r="L92" s="45" t="str">
        <f>IFERROR(AVERAGE(Data!L97), "  ")</f>
        <v xml:space="preserve">  </v>
      </c>
    </row>
    <row r="93" spans="1:12" x14ac:dyDescent="0.2">
      <c r="A93" s="43">
        <f>Data!A98</f>
        <v>39277</v>
      </c>
      <c r="B93" s="42">
        <f>IFERROR(AVERAGE(Data!B98), "  ")</f>
        <v>529</v>
      </c>
      <c r="C93" s="42">
        <f>IFERROR(AVERAGE(Data!C98), "  ")</f>
        <v>7</v>
      </c>
      <c r="D93" s="42">
        <f>IFERROR(AVERAGE(Data!D98), "  ")</f>
        <v>22</v>
      </c>
      <c r="E93" s="42">
        <f>IFERROR(AVERAGE(Data!E98), "  ")</f>
        <v>558</v>
      </c>
      <c r="F93" s="42">
        <f>IFERROR(AVERAGE(Data!F98), "  ")</f>
        <v>603</v>
      </c>
      <c r="G93" s="42">
        <f>IFERROR(AVERAGE(Data!G98), "  ")</f>
        <v>45</v>
      </c>
      <c r="H93" s="44">
        <f>IFERROR(AVERAGE(Data!H98), "  ")</f>
        <v>0.71306818181818177</v>
      </c>
      <c r="I93" s="44">
        <f>IFERROR(AVERAGE(Data!I98), "  ")</f>
        <v>-3.4602076124567477E-2</v>
      </c>
      <c r="J93" s="42">
        <f>IFERROR(AVERAGE(Data!J98), "  ")</f>
        <v>-20</v>
      </c>
      <c r="K93" s="44">
        <f>IFERROR(AVERAGE(Data!K98), "  ")</f>
        <v>0.15076335877862596</v>
      </c>
      <c r="L93" s="45" t="str">
        <f>IFERROR(AVERAGE(Data!L98), "  ")</f>
        <v xml:space="preserve">  </v>
      </c>
    </row>
    <row r="94" spans="1:12" x14ac:dyDescent="0.2">
      <c r="A94" s="43">
        <f>Data!A99</f>
        <v>39284</v>
      </c>
      <c r="B94" s="42">
        <f>IFERROR(AVERAGE(Data!B99), "  ")</f>
        <v>437</v>
      </c>
      <c r="C94" s="42">
        <f>IFERROR(AVERAGE(Data!C99), "  ")</f>
        <v>8</v>
      </c>
      <c r="D94" s="42">
        <f>IFERROR(AVERAGE(Data!D99), "  ")</f>
        <v>15</v>
      </c>
      <c r="E94" s="42">
        <f>IFERROR(AVERAGE(Data!E99), "  ")</f>
        <v>460</v>
      </c>
      <c r="F94" s="42">
        <f>IFERROR(AVERAGE(Data!F99), "  ")</f>
        <v>502</v>
      </c>
      <c r="G94" s="42">
        <f>IFERROR(AVERAGE(Data!G99), "  ")</f>
        <v>42</v>
      </c>
      <c r="H94" s="44">
        <f>IFERROR(AVERAGE(Data!H99), "  ")</f>
        <v>-0.16749585406301823</v>
      </c>
      <c r="I94" s="44">
        <f>IFERROR(AVERAGE(Data!I99), "  ")</f>
        <v>-0.17562724014336917</v>
      </c>
      <c r="J94" s="42">
        <f>IFERROR(AVERAGE(Data!J99), "  ")</f>
        <v>-98</v>
      </c>
      <c r="K94" s="44">
        <f>IFERROR(AVERAGE(Data!K99), "  ")</f>
        <v>-0.14625850340136054</v>
      </c>
      <c r="L94" s="45" t="str">
        <f>IFERROR(AVERAGE(Data!L99), "  ")</f>
        <v xml:space="preserve">  </v>
      </c>
    </row>
    <row r="95" spans="1:12" x14ac:dyDescent="0.2">
      <c r="A95" s="43">
        <f>Data!A100</f>
        <v>39291</v>
      </c>
      <c r="B95" s="42">
        <f>IFERROR(AVERAGE(Data!B100), "  ")</f>
        <v>486</v>
      </c>
      <c r="C95" s="42">
        <f>IFERROR(AVERAGE(Data!C100), "  ")</f>
        <v>7</v>
      </c>
      <c r="D95" s="42">
        <f>IFERROR(AVERAGE(Data!D100), "  ")</f>
        <v>20</v>
      </c>
      <c r="E95" s="42">
        <f>IFERROR(AVERAGE(Data!E100), "  ")</f>
        <v>513</v>
      </c>
      <c r="F95" s="42">
        <f>IFERROR(AVERAGE(Data!F100), "  ")</f>
        <v>532</v>
      </c>
      <c r="G95" s="42">
        <f>IFERROR(AVERAGE(Data!G100), "  ")</f>
        <v>19</v>
      </c>
      <c r="H95" s="44">
        <f>IFERROR(AVERAGE(Data!H100), "  ")</f>
        <v>5.9760956175298807E-2</v>
      </c>
      <c r="I95" s="44">
        <f>IFERROR(AVERAGE(Data!I100), "  ")</f>
        <v>0.11521739130434783</v>
      </c>
      <c r="J95" s="42">
        <f>IFERROR(AVERAGE(Data!J100), "  ")</f>
        <v>53</v>
      </c>
      <c r="K95" s="44">
        <f>IFERROR(AVERAGE(Data!K100), "  ")</f>
        <v>-0.14054927302100162</v>
      </c>
      <c r="L95" s="45" t="str">
        <f>IFERROR(AVERAGE(Data!L100), "  ")</f>
        <v xml:space="preserve">  </v>
      </c>
    </row>
    <row r="96" spans="1:12" x14ac:dyDescent="0.2">
      <c r="A96" s="43">
        <f>Data!A101</f>
        <v>39298</v>
      </c>
      <c r="B96" s="42">
        <f>IFERROR(AVERAGE(Data!B101), "  ")</f>
        <v>522</v>
      </c>
      <c r="C96" s="42">
        <f>IFERROR(AVERAGE(Data!C101), "  ")</f>
        <v>21</v>
      </c>
      <c r="D96" s="42">
        <f>IFERROR(AVERAGE(Data!D101), "  ")</f>
        <v>36</v>
      </c>
      <c r="E96" s="42">
        <f>IFERROR(AVERAGE(Data!E101), "  ")</f>
        <v>579</v>
      </c>
      <c r="F96" s="42">
        <f>IFERROR(AVERAGE(Data!F101), "  ")</f>
        <v>525</v>
      </c>
      <c r="G96" s="42">
        <f>IFERROR(AVERAGE(Data!G101), "  ")</f>
        <v>-54</v>
      </c>
      <c r="H96" s="44">
        <f>IFERROR(AVERAGE(Data!H101), "  ")</f>
        <v>-1.3157894736842105E-2</v>
      </c>
      <c r="I96" s="44">
        <f>IFERROR(AVERAGE(Data!I101), "  ")</f>
        <v>0.12865497076023391</v>
      </c>
      <c r="J96" s="42">
        <f>IFERROR(AVERAGE(Data!J101), "  ")</f>
        <v>66</v>
      </c>
      <c r="K96" s="44">
        <f>IFERROR(AVERAGE(Data!K101), "  ")</f>
        <v>0.13636363636363635</v>
      </c>
      <c r="L96" s="45" t="str">
        <f>IFERROR(AVERAGE(Data!L101), "  ")</f>
        <v xml:space="preserve">  </v>
      </c>
    </row>
    <row r="97" spans="1:12" x14ac:dyDescent="0.2">
      <c r="A97" s="43">
        <f>Data!A102</f>
        <v>39305</v>
      </c>
      <c r="B97" s="42">
        <f>IFERROR(AVERAGE(Data!B102), "  ")</f>
        <v>406</v>
      </c>
      <c r="C97" s="42">
        <f>IFERROR(AVERAGE(Data!C102), "  ")</f>
        <v>30</v>
      </c>
      <c r="D97" s="42">
        <f>IFERROR(AVERAGE(Data!D102), "  ")</f>
        <v>24</v>
      </c>
      <c r="E97" s="42">
        <f>IFERROR(AVERAGE(Data!E102), "  ")</f>
        <v>460</v>
      </c>
      <c r="F97" s="42">
        <f>IFERROR(AVERAGE(Data!F102), "  ")</f>
        <v>624</v>
      </c>
      <c r="G97" s="42">
        <f>IFERROR(AVERAGE(Data!G102), "  ")</f>
        <v>164</v>
      </c>
      <c r="H97" s="44">
        <f>IFERROR(AVERAGE(Data!H102), "  ")</f>
        <v>0.18857142857142858</v>
      </c>
      <c r="I97" s="44">
        <f>IFERROR(AVERAGE(Data!I102), "  ")</f>
        <v>-0.20552677029360966</v>
      </c>
      <c r="J97" s="42">
        <f>IFERROR(AVERAGE(Data!J102), "  ")</f>
        <v>-119</v>
      </c>
      <c r="K97" s="44">
        <f>IFERROR(AVERAGE(Data!K102), "  ")</f>
        <v>0.13248638838475499</v>
      </c>
      <c r="L97" s="45" t="str">
        <f>IFERROR(AVERAGE(Data!L102), "  ")</f>
        <v xml:space="preserve">  </v>
      </c>
    </row>
    <row r="98" spans="1:12" x14ac:dyDescent="0.2">
      <c r="A98" s="43">
        <f>Data!A103</f>
        <v>39312</v>
      </c>
      <c r="B98" s="42">
        <f>IFERROR(AVERAGE(Data!B103), "  ")</f>
        <v>380</v>
      </c>
      <c r="C98" s="42">
        <f>IFERROR(AVERAGE(Data!C103), "  ")</f>
        <v>20</v>
      </c>
      <c r="D98" s="42">
        <f>IFERROR(AVERAGE(Data!D103), "  ")</f>
        <v>35</v>
      </c>
      <c r="E98" s="42">
        <f>IFERROR(AVERAGE(Data!E103), "  ")</f>
        <v>435</v>
      </c>
      <c r="F98" s="42">
        <f>IFERROR(AVERAGE(Data!F103), "  ")</f>
        <v>589</v>
      </c>
      <c r="G98" s="42">
        <f>IFERROR(AVERAGE(Data!G103), "  ")</f>
        <v>154</v>
      </c>
      <c r="H98" s="44">
        <f>IFERROR(AVERAGE(Data!H103), "  ")</f>
        <v>-5.6089743589743592E-2</v>
      </c>
      <c r="I98" s="44">
        <f>IFERROR(AVERAGE(Data!I103), "  ")</f>
        <v>-5.434782608695652E-2</v>
      </c>
      <c r="J98" s="42">
        <f>IFERROR(AVERAGE(Data!J103), "  ")</f>
        <v>-25</v>
      </c>
      <c r="K98" s="44">
        <f>IFERROR(AVERAGE(Data!K103), "  ")</f>
        <v>-6.3593004769475353E-2</v>
      </c>
      <c r="L98" s="45" t="str">
        <f>IFERROR(AVERAGE(Data!L103), "  ")</f>
        <v xml:space="preserve">  </v>
      </c>
    </row>
    <row r="99" spans="1:12" x14ac:dyDescent="0.2">
      <c r="A99" s="43">
        <f>Data!A104</f>
        <v>39319</v>
      </c>
      <c r="B99" s="42">
        <f>IFERROR(AVERAGE(Data!B104), "  ")</f>
        <v>295</v>
      </c>
      <c r="C99" s="42">
        <f>IFERROR(AVERAGE(Data!C104), "  ")</f>
        <v>33</v>
      </c>
      <c r="D99" s="42">
        <f>IFERROR(AVERAGE(Data!D104), "  ")</f>
        <v>24</v>
      </c>
      <c r="E99" s="42">
        <f>IFERROR(AVERAGE(Data!E104), "  ")</f>
        <v>352</v>
      </c>
      <c r="F99" s="42">
        <f>IFERROR(AVERAGE(Data!F104), "  ")</f>
        <v>602</v>
      </c>
      <c r="G99" s="42">
        <f>IFERROR(AVERAGE(Data!G104), "  ")</f>
        <v>250</v>
      </c>
      <c r="H99" s="44">
        <f>IFERROR(AVERAGE(Data!H104), "  ")</f>
        <v>2.2071307300509338E-2</v>
      </c>
      <c r="I99" s="44">
        <f>IFERROR(AVERAGE(Data!I104), "  ")</f>
        <v>-0.19080459770114944</v>
      </c>
      <c r="J99" s="42">
        <f>IFERROR(AVERAGE(Data!J104), "  ")</f>
        <v>-83</v>
      </c>
      <c r="K99" s="44">
        <f>IFERROR(AVERAGE(Data!K104), "  ")</f>
        <v>6.688963210702341E-3</v>
      </c>
      <c r="L99" s="45" t="str">
        <f>IFERROR(AVERAGE(Data!L104), "  ")</f>
        <v xml:space="preserve">  </v>
      </c>
    </row>
    <row r="100" spans="1:12" x14ac:dyDescent="0.2">
      <c r="A100" s="43">
        <f>Data!A105</f>
        <v>39326</v>
      </c>
      <c r="B100" s="42">
        <f>IFERROR(AVERAGE(Data!B105), "  ")</f>
        <v>232</v>
      </c>
      <c r="C100" s="42">
        <f>IFERROR(AVERAGE(Data!C105), "  ")</f>
        <v>25</v>
      </c>
      <c r="D100" s="42">
        <f>IFERROR(AVERAGE(Data!D105), "  ")</f>
        <v>32</v>
      </c>
      <c r="E100" s="42">
        <f>IFERROR(AVERAGE(Data!E105), "  ")</f>
        <v>289</v>
      </c>
      <c r="F100" s="42">
        <f>IFERROR(AVERAGE(Data!F105), "  ")</f>
        <v>655</v>
      </c>
      <c r="G100" s="42">
        <f>IFERROR(AVERAGE(Data!G105), "  ")</f>
        <v>366</v>
      </c>
      <c r="H100" s="44">
        <f>IFERROR(AVERAGE(Data!H105), "  ")</f>
        <v>8.8039867109634545E-2</v>
      </c>
      <c r="I100" s="44">
        <f>IFERROR(AVERAGE(Data!I105), "  ")</f>
        <v>-0.17897727272727273</v>
      </c>
      <c r="J100" s="42">
        <f>IFERROR(AVERAGE(Data!J105), "  ")</f>
        <v>-63</v>
      </c>
      <c r="K100" s="44">
        <f>IFERROR(AVERAGE(Data!K105), "  ")</f>
        <v>0.25961538461538464</v>
      </c>
      <c r="L100" s="45" t="str">
        <f>IFERROR(AVERAGE(Data!L105), "  ")</f>
        <v xml:space="preserve">  </v>
      </c>
    </row>
    <row r="101" spans="1:12" x14ac:dyDescent="0.2">
      <c r="A101" s="43">
        <f>Data!A106</f>
        <v>39333</v>
      </c>
      <c r="B101" s="42">
        <f>IFERROR(AVERAGE(Data!B106), "  ")</f>
        <v>163</v>
      </c>
      <c r="C101" s="42">
        <f>IFERROR(AVERAGE(Data!C106), "  ")</f>
        <v>26</v>
      </c>
      <c r="D101" s="42">
        <f>IFERROR(AVERAGE(Data!D106), "  ")</f>
        <v>62</v>
      </c>
      <c r="E101" s="42">
        <f>IFERROR(AVERAGE(Data!E106), "  ")</f>
        <v>251</v>
      </c>
      <c r="F101" s="42">
        <f>IFERROR(AVERAGE(Data!F106), "  ")</f>
        <v>672</v>
      </c>
      <c r="G101" s="42">
        <f>IFERROR(AVERAGE(Data!G106), "  ")</f>
        <v>421</v>
      </c>
      <c r="H101" s="44">
        <f>IFERROR(AVERAGE(Data!H106), "  ")</f>
        <v>2.5954198473282442E-2</v>
      </c>
      <c r="I101" s="44">
        <f>IFERROR(AVERAGE(Data!I106), "  ")</f>
        <v>-0.13148788927335639</v>
      </c>
      <c r="J101" s="42">
        <f>IFERROR(AVERAGE(Data!J106), "  ")</f>
        <v>-38</v>
      </c>
      <c r="K101" s="44">
        <f>IFERROR(AVERAGE(Data!K106), "  ")</f>
        <v>0.19148936170212766</v>
      </c>
      <c r="L101" s="45" t="str">
        <f>IFERROR(AVERAGE(Data!L106), "  ")</f>
        <v xml:space="preserve">  </v>
      </c>
    </row>
    <row r="102" spans="1:12" x14ac:dyDescent="0.2">
      <c r="A102" s="43">
        <f>Data!A107</f>
        <v>39340</v>
      </c>
      <c r="B102" s="42">
        <f>IFERROR(AVERAGE(Data!B107), "  ")</f>
        <v>179</v>
      </c>
      <c r="C102" s="42">
        <f>IFERROR(AVERAGE(Data!C107), "  ")</f>
        <v>31</v>
      </c>
      <c r="D102" s="42">
        <f>IFERROR(AVERAGE(Data!D107), "  ")</f>
        <v>56</v>
      </c>
      <c r="E102" s="42">
        <f>IFERROR(AVERAGE(Data!E107), "  ")</f>
        <v>266</v>
      </c>
      <c r="F102" s="42">
        <f>IFERROR(AVERAGE(Data!F107), "  ")</f>
        <v>712</v>
      </c>
      <c r="G102" s="42">
        <f>IFERROR(AVERAGE(Data!G107), "  ")</f>
        <v>446</v>
      </c>
      <c r="H102" s="44">
        <f>IFERROR(AVERAGE(Data!H107), "  ")</f>
        <v>5.9523809523809521E-2</v>
      </c>
      <c r="I102" s="44">
        <f>IFERROR(AVERAGE(Data!I107), "  ")</f>
        <v>5.9760956175298807E-2</v>
      </c>
      <c r="J102" s="42">
        <f>IFERROR(AVERAGE(Data!J107), "  ")</f>
        <v>15</v>
      </c>
      <c r="K102" s="44">
        <f>IFERROR(AVERAGE(Data!K107), "  ")</f>
        <v>0.13375796178343949</v>
      </c>
      <c r="L102" s="45" t="str">
        <f>IFERROR(AVERAGE(Data!L107), "  ")</f>
        <v xml:space="preserve">  </v>
      </c>
    </row>
    <row r="103" spans="1:12" x14ac:dyDescent="0.2">
      <c r="A103" s="43">
        <f>Data!A108</f>
        <v>39347</v>
      </c>
      <c r="B103" s="42">
        <f>IFERROR(AVERAGE(Data!B108), "  ")</f>
        <v>168</v>
      </c>
      <c r="C103" s="42">
        <f>IFERROR(AVERAGE(Data!C108), "  ")</f>
        <v>13</v>
      </c>
      <c r="D103" s="42">
        <f>IFERROR(AVERAGE(Data!D108), "  ")</f>
        <v>73</v>
      </c>
      <c r="E103" s="42">
        <f>IFERROR(AVERAGE(Data!E108), "  ")</f>
        <v>254</v>
      </c>
      <c r="F103" s="42">
        <f>IFERROR(AVERAGE(Data!F108), "  ")</f>
        <v>720</v>
      </c>
      <c r="G103" s="42">
        <f>IFERROR(AVERAGE(Data!G108), "  ")</f>
        <v>466</v>
      </c>
      <c r="H103" s="44">
        <f>IFERROR(AVERAGE(Data!H108), "  ")</f>
        <v>1.1235955056179775E-2</v>
      </c>
      <c r="I103" s="44">
        <f>IFERROR(AVERAGE(Data!I108), "  ")</f>
        <v>-4.5112781954887216E-2</v>
      </c>
      <c r="J103" s="42">
        <f>IFERROR(AVERAGE(Data!J108), "  ")</f>
        <v>-12</v>
      </c>
      <c r="K103" s="44">
        <f>IFERROR(AVERAGE(Data!K108), "  ")</f>
        <v>0.35084427767354598</v>
      </c>
      <c r="L103" s="45" t="str">
        <f>IFERROR(AVERAGE(Data!L108), "  ")</f>
        <v xml:space="preserve">  </v>
      </c>
    </row>
    <row r="104" spans="1:12" x14ac:dyDescent="0.2">
      <c r="A104" s="43">
        <f>Data!A109</f>
        <v>39354</v>
      </c>
      <c r="B104" s="42">
        <f>IFERROR(AVERAGE(Data!B109), "  ")</f>
        <v>214</v>
      </c>
      <c r="C104" s="42">
        <f>IFERROR(AVERAGE(Data!C109), "  ")</f>
        <v>38</v>
      </c>
      <c r="D104" s="42">
        <f>IFERROR(AVERAGE(Data!D109), "  ")</f>
        <v>82</v>
      </c>
      <c r="E104" s="42">
        <f>IFERROR(AVERAGE(Data!E109), "  ")</f>
        <v>334</v>
      </c>
      <c r="F104" s="42">
        <f>IFERROR(AVERAGE(Data!F109), "  ")</f>
        <v>650</v>
      </c>
      <c r="G104" s="42">
        <f>IFERROR(AVERAGE(Data!G109), "  ")</f>
        <v>316</v>
      </c>
      <c r="H104" s="44">
        <f>IFERROR(AVERAGE(Data!H109), "  ")</f>
        <v>-9.7222222222222224E-2</v>
      </c>
      <c r="I104" s="44">
        <f>IFERROR(AVERAGE(Data!I109), "  ")</f>
        <v>0.31496062992125984</v>
      </c>
      <c r="J104" s="42">
        <f>IFERROR(AVERAGE(Data!J109), "  ")</f>
        <v>80</v>
      </c>
      <c r="K104" s="44">
        <f>IFERROR(AVERAGE(Data!K109), "  ")</f>
        <v>0.2922465208747515</v>
      </c>
      <c r="L104" s="45" t="str">
        <f>IFERROR(AVERAGE(Data!L109), "  ")</f>
        <v xml:space="preserve">  </v>
      </c>
    </row>
    <row r="105" spans="1:12" x14ac:dyDescent="0.2">
      <c r="A105" s="43">
        <f>Data!A110</f>
        <v>39361</v>
      </c>
      <c r="B105" s="42">
        <f>IFERROR(AVERAGE(Data!B110), "  ")</f>
        <v>241</v>
      </c>
      <c r="C105" s="42">
        <f>IFERROR(AVERAGE(Data!C110), "  ")</f>
        <v>21</v>
      </c>
      <c r="D105" s="42">
        <f>IFERROR(AVERAGE(Data!D110), "  ")</f>
        <v>111</v>
      </c>
      <c r="E105" s="42">
        <f>IFERROR(AVERAGE(Data!E110), "  ")</f>
        <v>373</v>
      </c>
      <c r="F105" s="42">
        <f>IFERROR(AVERAGE(Data!F110), "  ")</f>
        <v>659</v>
      </c>
      <c r="G105" s="42">
        <f>IFERROR(AVERAGE(Data!G110), "  ")</f>
        <v>286</v>
      </c>
      <c r="H105" s="44">
        <f>IFERROR(AVERAGE(Data!H110), "  ")</f>
        <v>1.3846153846153847E-2</v>
      </c>
      <c r="I105" s="44">
        <f>IFERROR(AVERAGE(Data!I110), "  ")</f>
        <v>0.11676646706586827</v>
      </c>
      <c r="J105" s="42">
        <f>IFERROR(AVERAGE(Data!J110), "  ")</f>
        <v>39</v>
      </c>
      <c r="K105" s="44">
        <f>IFERROR(AVERAGE(Data!K110), "  ")</f>
        <v>4.2721518987341771E-2</v>
      </c>
      <c r="L105" s="45" t="str">
        <f>IFERROR(AVERAGE(Data!L110), "  ")</f>
        <v xml:space="preserve">  </v>
      </c>
    </row>
    <row r="106" spans="1:12" x14ac:dyDescent="0.2">
      <c r="A106" s="43">
        <f>Data!A111</f>
        <v>39368</v>
      </c>
      <c r="B106" s="42">
        <f>IFERROR(AVERAGE(Data!B111), "  ")</f>
        <v>330</v>
      </c>
      <c r="C106" s="42">
        <f>IFERROR(AVERAGE(Data!C111), "  ")</f>
        <v>35</v>
      </c>
      <c r="D106" s="42">
        <f>IFERROR(AVERAGE(Data!D111), "  ")</f>
        <v>114</v>
      </c>
      <c r="E106" s="42">
        <f>IFERROR(AVERAGE(Data!E111), "  ")</f>
        <v>479</v>
      </c>
      <c r="F106" s="42">
        <f>IFERROR(AVERAGE(Data!F111), "  ")</f>
        <v>703</v>
      </c>
      <c r="G106" s="42">
        <f>IFERROR(AVERAGE(Data!G111), "  ")</f>
        <v>224</v>
      </c>
      <c r="H106" s="44">
        <f>IFERROR(AVERAGE(Data!H111), "  ")</f>
        <v>6.6767830045523516E-2</v>
      </c>
      <c r="I106" s="44">
        <f>IFERROR(AVERAGE(Data!I111), "  ")</f>
        <v>0.28418230563002683</v>
      </c>
      <c r="J106" s="42">
        <f>IFERROR(AVERAGE(Data!J111), "  ")</f>
        <v>106</v>
      </c>
      <c r="K106" s="44">
        <f>IFERROR(AVERAGE(Data!K111), "  ")</f>
        <v>0.15245901639344261</v>
      </c>
      <c r="L106" s="45" t="str">
        <f>IFERROR(AVERAGE(Data!L111), "  ")</f>
        <v xml:space="preserve">  </v>
      </c>
    </row>
    <row r="107" spans="1:12" x14ac:dyDescent="0.2">
      <c r="A107" s="43">
        <f>Data!A112</f>
        <v>39375</v>
      </c>
      <c r="B107" s="42">
        <f>IFERROR(AVERAGE(Data!B112), "  ")</f>
        <v>374</v>
      </c>
      <c r="C107" s="42">
        <f>IFERROR(AVERAGE(Data!C112), "  ")</f>
        <v>22</v>
      </c>
      <c r="D107" s="42">
        <f>IFERROR(AVERAGE(Data!D112), "  ")</f>
        <v>99</v>
      </c>
      <c r="E107" s="42">
        <f>IFERROR(AVERAGE(Data!E112), "  ")</f>
        <v>495</v>
      </c>
      <c r="F107" s="42">
        <f>IFERROR(AVERAGE(Data!F112), "  ")</f>
        <v>640</v>
      </c>
      <c r="G107" s="42">
        <f>IFERROR(AVERAGE(Data!G112), "  ")</f>
        <v>145</v>
      </c>
      <c r="H107" s="44">
        <f>IFERROR(AVERAGE(Data!H112), "  ")</f>
        <v>-8.9615931721194877E-2</v>
      </c>
      <c r="I107" s="44">
        <f>IFERROR(AVERAGE(Data!I112), "  ")</f>
        <v>3.3402922755741124E-2</v>
      </c>
      <c r="J107" s="42">
        <f>IFERROR(AVERAGE(Data!J112), "  ")</f>
        <v>16</v>
      </c>
      <c r="K107" s="44">
        <f>IFERROR(AVERAGE(Data!K112), "  ")</f>
        <v>1.5873015873015872E-2</v>
      </c>
      <c r="L107" s="45" t="str">
        <f>IFERROR(AVERAGE(Data!L112), "  ")</f>
        <v xml:space="preserve">  </v>
      </c>
    </row>
    <row r="108" spans="1:12" x14ac:dyDescent="0.2">
      <c r="A108" s="43">
        <f>Data!A113</f>
        <v>39382</v>
      </c>
      <c r="B108" s="42">
        <f>IFERROR(AVERAGE(Data!B113), "  ")</f>
        <v>434</v>
      </c>
      <c r="C108" s="42">
        <f>IFERROR(AVERAGE(Data!C113), "  ")</f>
        <v>26</v>
      </c>
      <c r="D108" s="42">
        <f>IFERROR(AVERAGE(Data!D113), "  ")</f>
        <v>81</v>
      </c>
      <c r="E108" s="42">
        <f>IFERROR(AVERAGE(Data!E113), "  ")</f>
        <v>541</v>
      </c>
      <c r="F108" s="42">
        <f>IFERROR(AVERAGE(Data!F113), "  ")</f>
        <v>601</v>
      </c>
      <c r="G108" s="42">
        <f>IFERROR(AVERAGE(Data!G113), "  ")</f>
        <v>60</v>
      </c>
      <c r="H108" s="44">
        <f>IFERROR(AVERAGE(Data!H113), "  ")</f>
        <v>-6.0937499999999999E-2</v>
      </c>
      <c r="I108" s="44">
        <f>IFERROR(AVERAGE(Data!I113), "  ")</f>
        <v>9.2929292929292931E-2</v>
      </c>
      <c r="J108" s="42">
        <f>IFERROR(AVERAGE(Data!J113), "  ")</f>
        <v>46</v>
      </c>
      <c r="K108" s="44">
        <f>IFERROR(AVERAGE(Data!K113), "  ")</f>
        <v>-0.12645348837209303</v>
      </c>
      <c r="L108" s="45" t="str">
        <f>IFERROR(AVERAGE(Data!L113), "  ")</f>
        <v xml:space="preserve">  </v>
      </c>
    </row>
    <row r="109" spans="1:12" x14ac:dyDescent="0.2">
      <c r="A109" s="43">
        <f>Data!A114</f>
        <v>39389</v>
      </c>
      <c r="B109" s="42">
        <f>IFERROR(AVERAGE(Data!B114), "  ")</f>
        <v>342</v>
      </c>
      <c r="C109" s="42">
        <f>IFERROR(AVERAGE(Data!C114), "  ")</f>
        <v>18</v>
      </c>
      <c r="D109" s="42">
        <f>IFERROR(AVERAGE(Data!D114), "  ")</f>
        <v>38</v>
      </c>
      <c r="E109" s="42">
        <f>IFERROR(AVERAGE(Data!E114), "  ")</f>
        <v>398</v>
      </c>
      <c r="F109" s="42">
        <f>IFERROR(AVERAGE(Data!F114), "  ")</f>
        <v>775</v>
      </c>
      <c r="G109" s="42">
        <f>IFERROR(AVERAGE(Data!G114), "  ")</f>
        <v>377</v>
      </c>
      <c r="H109" s="44">
        <f>IFERROR(AVERAGE(Data!H114), "  ")</f>
        <v>0.28951747088186358</v>
      </c>
      <c r="I109" s="44">
        <f>IFERROR(AVERAGE(Data!I114), "  ")</f>
        <v>-0.26432532347504623</v>
      </c>
      <c r="J109" s="42">
        <f>IFERROR(AVERAGE(Data!J114), "  ")</f>
        <v>-143</v>
      </c>
      <c r="K109" s="44">
        <f>IFERROR(AVERAGE(Data!K114), "  ")</f>
        <v>-5.1347881899871627E-3</v>
      </c>
      <c r="L109" s="45" t="str">
        <f>IFERROR(AVERAGE(Data!L114), "  ")</f>
        <v xml:space="preserve">  </v>
      </c>
    </row>
    <row r="110" spans="1:12" x14ac:dyDescent="0.2">
      <c r="A110" s="43">
        <f>Data!A115</f>
        <v>39396</v>
      </c>
      <c r="B110" s="42">
        <f>IFERROR(AVERAGE(Data!B115), "  ")</f>
        <v>607</v>
      </c>
      <c r="C110" s="42">
        <f>IFERROR(AVERAGE(Data!C115), "  ")</f>
        <v>35</v>
      </c>
      <c r="D110" s="42">
        <f>IFERROR(AVERAGE(Data!D115), "  ")</f>
        <v>45</v>
      </c>
      <c r="E110" s="42">
        <f>IFERROR(AVERAGE(Data!E115), "  ")</f>
        <v>687</v>
      </c>
      <c r="F110" s="42">
        <f>IFERROR(AVERAGE(Data!F115), "  ")</f>
        <v>790</v>
      </c>
      <c r="G110" s="42">
        <f>IFERROR(AVERAGE(Data!G115), "  ")</f>
        <v>103</v>
      </c>
      <c r="H110" s="44">
        <f>IFERROR(AVERAGE(Data!H115), "  ")</f>
        <v>1.935483870967742E-2</v>
      </c>
      <c r="I110" s="44">
        <f>IFERROR(AVERAGE(Data!I115), "  ")</f>
        <v>0.72613065326633164</v>
      </c>
      <c r="J110" s="42">
        <f>IFERROR(AVERAGE(Data!J115), "  ")</f>
        <v>289</v>
      </c>
      <c r="K110" s="44">
        <f>IFERROR(AVERAGE(Data!K115), "  ")</f>
        <v>0.16176470588235295</v>
      </c>
      <c r="L110" s="45" t="str">
        <f>IFERROR(AVERAGE(Data!L115), "  ")</f>
        <v xml:space="preserve">  </v>
      </c>
    </row>
    <row r="111" spans="1:12" x14ac:dyDescent="0.2">
      <c r="A111" s="43">
        <f>Data!A116</f>
        <v>39403</v>
      </c>
      <c r="B111" s="42">
        <f>IFERROR(AVERAGE(Data!B116), "  ")</f>
        <v>566</v>
      </c>
      <c r="C111" s="42">
        <f>IFERROR(AVERAGE(Data!C116), "  ")</f>
        <v>22</v>
      </c>
      <c r="D111" s="42">
        <f>IFERROR(AVERAGE(Data!D116), "  ")</f>
        <v>107</v>
      </c>
      <c r="E111" s="42">
        <f>IFERROR(AVERAGE(Data!E116), "  ")</f>
        <v>695</v>
      </c>
      <c r="F111" s="42">
        <f>IFERROR(AVERAGE(Data!F116), "  ")</f>
        <v>771</v>
      </c>
      <c r="G111" s="42">
        <f>IFERROR(AVERAGE(Data!G116), "  ")</f>
        <v>76</v>
      </c>
      <c r="H111" s="44">
        <f>IFERROR(AVERAGE(Data!H116), "  ")</f>
        <v>-2.4050632911392405E-2</v>
      </c>
      <c r="I111" s="44">
        <f>IFERROR(AVERAGE(Data!I116), "  ")</f>
        <v>1.1644832605531296E-2</v>
      </c>
      <c r="J111" s="42">
        <f>IFERROR(AVERAGE(Data!J116), "  ")</f>
        <v>8</v>
      </c>
      <c r="K111" s="44">
        <f>IFERROR(AVERAGE(Data!K116), "  ")</f>
        <v>0.15939849624060151</v>
      </c>
      <c r="L111" s="45" t="str">
        <f>IFERROR(AVERAGE(Data!L116), "  ")</f>
        <v xml:space="preserve">  </v>
      </c>
    </row>
    <row r="112" spans="1:12" x14ac:dyDescent="0.2">
      <c r="A112" s="43">
        <f>Data!A117</f>
        <v>39410</v>
      </c>
      <c r="B112" s="42">
        <f>IFERROR(AVERAGE(Data!B117), "  ")</f>
        <v>548</v>
      </c>
      <c r="C112" s="42">
        <f>IFERROR(AVERAGE(Data!C117), "  ")</f>
        <v>49</v>
      </c>
      <c r="D112" s="42">
        <f>IFERROR(AVERAGE(Data!D117), "  ")</f>
        <v>98</v>
      </c>
      <c r="E112" s="42">
        <f>IFERROR(AVERAGE(Data!E117), "  ")</f>
        <v>695</v>
      </c>
      <c r="F112" s="42">
        <f>IFERROR(AVERAGE(Data!F117), "  ")</f>
        <v>794</v>
      </c>
      <c r="G112" s="42">
        <f>IFERROR(AVERAGE(Data!G117), "  ")</f>
        <v>99</v>
      </c>
      <c r="H112" s="44">
        <f>IFERROR(AVERAGE(Data!H117), "  ")</f>
        <v>2.9831387808041506E-2</v>
      </c>
      <c r="I112" s="44">
        <f>IFERROR(AVERAGE(Data!I117), "  ")</f>
        <v>0</v>
      </c>
      <c r="J112" s="42">
        <f>IFERROR(AVERAGE(Data!J117), "  ")</f>
        <v>0</v>
      </c>
      <c r="K112" s="44">
        <f>IFERROR(AVERAGE(Data!K117), "  ")</f>
        <v>0.34348561759729274</v>
      </c>
      <c r="L112" s="45" t="str">
        <f>IFERROR(AVERAGE(Data!L117), "  ")</f>
        <v xml:space="preserve">  </v>
      </c>
    </row>
    <row r="113" spans="1:12" x14ac:dyDescent="0.2">
      <c r="A113" s="43">
        <f>Data!A118</f>
        <v>39417</v>
      </c>
      <c r="B113" s="42">
        <f>IFERROR(AVERAGE(Data!B118), "  ")</f>
        <v>479</v>
      </c>
      <c r="C113" s="42">
        <f>IFERROR(AVERAGE(Data!C118), "  ")</f>
        <v>47</v>
      </c>
      <c r="D113" s="42">
        <f>IFERROR(AVERAGE(Data!D118), "  ")</f>
        <v>48</v>
      </c>
      <c r="E113" s="42">
        <f>IFERROR(AVERAGE(Data!E118), "  ")</f>
        <v>574</v>
      </c>
      <c r="F113" s="42">
        <f>IFERROR(AVERAGE(Data!F118), "  ")</f>
        <v>735</v>
      </c>
      <c r="G113" s="42">
        <f>IFERROR(AVERAGE(Data!G118), "  ")</f>
        <v>161</v>
      </c>
      <c r="H113" s="44">
        <f>IFERROR(AVERAGE(Data!H118), "  ")</f>
        <v>-7.4307304785894202E-2</v>
      </c>
      <c r="I113" s="44">
        <f>IFERROR(AVERAGE(Data!I118), "  ")</f>
        <v>-0.17410071942446043</v>
      </c>
      <c r="J113" s="42">
        <f>IFERROR(AVERAGE(Data!J118), "  ")</f>
        <v>-121</v>
      </c>
      <c r="K113" s="44">
        <f>IFERROR(AVERAGE(Data!K118), "  ")</f>
        <v>9.375E-2</v>
      </c>
      <c r="L113" s="45" t="str">
        <f>IFERROR(AVERAGE(Data!L118), "  ")</f>
        <v xml:space="preserve">  </v>
      </c>
    </row>
    <row r="114" spans="1:12" x14ac:dyDescent="0.2">
      <c r="A114" s="43">
        <f>Data!A119</f>
        <v>39424</v>
      </c>
      <c r="B114" s="42">
        <f>IFERROR(AVERAGE(Data!B119), "  ")</f>
        <v>452</v>
      </c>
      <c r="C114" s="42">
        <f>IFERROR(AVERAGE(Data!C119), "  ")</f>
        <v>20</v>
      </c>
      <c r="D114" s="42">
        <f>IFERROR(AVERAGE(Data!D119), "  ")</f>
        <v>123</v>
      </c>
      <c r="E114" s="42">
        <f>IFERROR(AVERAGE(Data!E119), "  ")</f>
        <v>595</v>
      </c>
      <c r="F114" s="42">
        <f>IFERROR(AVERAGE(Data!F119), "  ")</f>
        <v>778</v>
      </c>
      <c r="G114" s="42">
        <f>IFERROR(AVERAGE(Data!G119), "  ")</f>
        <v>183</v>
      </c>
      <c r="H114" s="44">
        <f>IFERROR(AVERAGE(Data!H119), "  ")</f>
        <v>5.8503401360544216E-2</v>
      </c>
      <c r="I114" s="44">
        <f>IFERROR(AVERAGE(Data!I119), "  ")</f>
        <v>3.6585365853658534E-2</v>
      </c>
      <c r="J114" s="42">
        <f>IFERROR(AVERAGE(Data!J119), "  ")</f>
        <v>21</v>
      </c>
      <c r="K114" s="44">
        <f>IFERROR(AVERAGE(Data!K119), "  ")</f>
        <v>0.19325153374233128</v>
      </c>
      <c r="L114" s="45" t="str">
        <f>IFERROR(AVERAGE(Data!L119), "  ")</f>
        <v xml:space="preserve">  </v>
      </c>
    </row>
    <row r="115" spans="1:12" x14ac:dyDescent="0.2">
      <c r="A115" s="43">
        <f>Data!A120</f>
        <v>39431</v>
      </c>
      <c r="B115" s="42">
        <f>IFERROR(AVERAGE(Data!B120), "  ")</f>
        <v>406</v>
      </c>
      <c r="C115" s="42">
        <f>IFERROR(AVERAGE(Data!C120), "  ")</f>
        <v>38</v>
      </c>
      <c r="D115" s="42">
        <f>IFERROR(AVERAGE(Data!D120), "  ")</f>
        <v>72</v>
      </c>
      <c r="E115" s="42">
        <f>IFERROR(AVERAGE(Data!E120), "  ")</f>
        <v>516</v>
      </c>
      <c r="F115" s="42">
        <f>IFERROR(AVERAGE(Data!F120), "  ")</f>
        <v>718</v>
      </c>
      <c r="G115" s="42">
        <f>IFERROR(AVERAGE(Data!G120), "  ")</f>
        <v>202</v>
      </c>
      <c r="H115" s="44">
        <f>IFERROR(AVERAGE(Data!H120), "  ")</f>
        <v>-7.7120822622107968E-2</v>
      </c>
      <c r="I115" s="44">
        <f>IFERROR(AVERAGE(Data!I120), "  ")</f>
        <v>-0.13277310924369748</v>
      </c>
      <c r="J115" s="42">
        <f>IFERROR(AVERAGE(Data!J120), "  ")</f>
        <v>-79</v>
      </c>
      <c r="K115" s="44">
        <f>IFERROR(AVERAGE(Data!K120), "  ")</f>
        <v>0.27304964539007093</v>
      </c>
      <c r="L115" s="45" t="str">
        <f>IFERROR(AVERAGE(Data!L120), "  ")</f>
        <v xml:space="preserve">  </v>
      </c>
    </row>
    <row r="116" spans="1:12" x14ac:dyDescent="0.2">
      <c r="A116" s="43">
        <f>Data!A121</f>
        <v>39438</v>
      </c>
      <c r="B116" s="42">
        <f>IFERROR(AVERAGE(Data!B121), "  ")</f>
        <v>170</v>
      </c>
      <c r="C116" s="42">
        <f>IFERROR(AVERAGE(Data!C121), "  ")</f>
        <v>39</v>
      </c>
      <c r="D116" s="42">
        <f>IFERROR(AVERAGE(Data!D121), "  ")</f>
        <v>73</v>
      </c>
      <c r="E116" s="42">
        <f>IFERROR(AVERAGE(Data!E121), "  ")</f>
        <v>282</v>
      </c>
      <c r="F116" s="42">
        <f>IFERROR(AVERAGE(Data!F121), "  ")</f>
        <v>721</v>
      </c>
      <c r="G116" s="42">
        <f>IFERROR(AVERAGE(Data!G121), "  ")</f>
        <v>439</v>
      </c>
      <c r="H116" s="44">
        <f>IFERROR(AVERAGE(Data!H121), "  ")</f>
        <v>4.178272980501393E-3</v>
      </c>
      <c r="I116" s="44">
        <f>IFERROR(AVERAGE(Data!I121), "  ")</f>
        <v>-0.45348837209302323</v>
      </c>
      <c r="J116" s="42">
        <f>IFERROR(AVERAGE(Data!J121), "  ")</f>
        <v>-234</v>
      </c>
      <c r="K116" s="44">
        <f>IFERROR(AVERAGE(Data!K121), "  ")</f>
        <v>0.36812144212523717</v>
      </c>
      <c r="L116" s="45" t="str">
        <f>IFERROR(AVERAGE(Data!L121), "  ")</f>
        <v xml:space="preserve">  </v>
      </c>
    </row>
    <row r="117" spans="1:12" x14ac:dyDescent="0.2">
      <c r="A117" s="43">
        <f>Data!A122</f>
        <v>39445</v>
      </c>
      <c r="B117" s="42">
        <f>IFERROR(AVERAGE(Data!B122), "  ")</f>
        <v>306</v>
      </c>
      <c r="C117" s="42">
        <f>IFERROR(AVERAGE(Data!C122), "  ")</f>
        <v>33</v>
      </c>
      <c r="D117" s="42">
        <f>IFERROR(AVERAGE(Data!D122), "  ")</f>
        <v>118</v>
      </c>
      <c r="E117" s="42">
        <f>IFERROR(AVERAGE(Data!E122), "  ")</f>
        <v>457</v>
      </c>
      <c r="F117" s="42">
        <f>IFERROR(AVERAGE(Data!F122), "  ")</f>
        <v>632</v>
      </c>
      <c r="G117" s="42">
        <f>IFERROR(AVERAGE(Data!G122), "  ")</f>
        <v>175</v>
      </c>
      <c r="H117" s="44">
        <f>IFERROR(AVERAGE(Data!H122), "  ")</f>
        <v>-0.12343966712898752</v>
      </c>
      <c r="I117" s="44">
        <f>IFERROR(AVERAGE(Data!I122), "  ")</f>
        <v>0.62056737588652477</v>
      </c>
      <c r="J117" s="42">
        <f>IFERROR(AVERAGE(Data!J122), "  ")</f>
        <v>175</v>
      </c>
      <c r="K117" s="44">
        <f>IFERROR(AVERAGE(Data!K122), "  ")</f>
        <v>0.2793522267206478</v>
      </c>
      <c r="L117" s="45" t="str">
        <f>IFERROR(AVERAGE(Data!L122), "  ")</f>
        <v xml:space="preserve">  </v>
      </c>
    </row>
    <row r="118" spans="1:12" x14ac:dyDescent="0.2">
      <c r="A118" s="43">
        <f>Data!A123</f>
        <v>39452</v>
      </c>
      <c r="B118" s="42">
        <f>IFERROR(AVERAGE(Data!B123), "  ")</f>
        <v>232</v>
      </c>
      <c r="C118" s="42">
        <f>IFERROR(AVERAGE(Data!C123), "  ")</f>
        <v>34</v>
      </c>
      <c r="D118" s="42">
        <f>IFERROR(AVERAGE(Data!D123), "  ")</f>
        <v>106</v>
      </c>
      <c r="E118" s="42">
        <f>IFERROR(AVERAGE(Data!E123), "  ")</f>
        <v>372</v>
      </c>
      <c r="F118" s="42">
        <f>IFERROR(AVERAGE(Data!F123), "  ")</f>
        <v>648</v>
      </c>
      <c r="G118" s="42">
        <f>IFERROR(AVERAGE(Data!G123), "  ")</f>
        <v>276</v>
      </c>
      <c r="H118" s="44">
        <f>IFERROR(AVERAGE(Data!H123), "  ")</f>
        <v>2.5316455696202531E-2</v>
      </c>
      <c r="I118" s="44">
        <f>IFERROR(AVERAGE(Data!I123), "  ")</f>
        <v>-0.18599562363238512</v>
      </c>
      <c r="J118" s="42">
        <f>IFERROR(AVERAGE(Data!J123), "  ")</f>
        <v>-85</v>
      </c>
      <c r="K118" s="44">
        <f>IFERROR(AVERAGE(Data!K123), "  ")</f>
        <v>0.11724137931034483</v>
      </c>
      <c r="L118" s="45" t="str">
        <f>IFERROR(AVERAGE(Data!L123), "  ")</f>
        <v xml:space="preserve">  </v>
      </c>
    </row>
    <row r="119" spans="1:12" x14ac:dyDescent="0.2">
      <c r="A119" s="43">
        <f>Data!A124</f>
        <v>39459</v>
      </c>
      <c r="B119" s="42">
        <f>IFERROR(AVERAGE(Data!B124), "  ")</f>
        <v>183</v>
      </c>
      <c r="C119" s="42">
        <f>IFERROR(AVERAGE(Data!C124), "  ")</f>
        <v>24</v>
      </c>
      <c r="D119" s="42">
        <f>IFERROR(AVERAGE(Data!D124), "  ")</f>
        <v>151</v>
      </c>
      <c r="E119" s="42">
        <f>IFERROR(AVERAGE(Data!E124), "  ")</f>
        <v>358</v>
      </c>
      <c r="F119" s="42">
        <f>IFERROR(AVERAGE(Data!F124), "  ")</f>
        <v>750</v>
      </c>
      <c r="G119" s="42">
        <f>IFERROR(AVERAGE(Data!G124), "  ")</f>
        <v>392</v>
      </c>
      <c r="H119" s="44">
        <f>IFERROR(AVERAGE(Data!H124), "  ")</f>
        <v>0.15740740740740741</v>
      </c>
      <c r="I119" s="44">
        <f>IFERROR(AVERAGE(Data!I124), "  ")</f>
        <v>-3.7634408602150539E-2</v>
      </c>
      <c r="J119" s="42">
        <f>IFERROR(AVERAGE(Data!J124), "  ")</f>
        <v>-14</v>
      </c>
      <c r="K119" s="44">
        <f>IFERROR(AVERAGE(Data!K124), "  ")</f>
        <v>-2.9754204398447608E-2</v>
      </c>
      <c r="L119" s="45" t="str">
        <f>IFERROR(AVERAGE(Data!L124), "  ")</f>
        <v xml:space="preserve">  </v>
      </c>
    </row>
    <row r="120" spans="1:12" x14ac:dyDescent="0.2">
      <c r="A120" s="43">
        <f>Data!A125</f>
        <v>39466</v>
      </c>
      <c r="B120" s="42">
        <f>IFERROR(AVERAGE(Data!B125), "  ")</f>
        <v>146</v>
      </c>
      <c r="C120" s="42">
        <f>IFERROR(AVERAGE(Data!C125), "  ")</f>
        <v>30</v>
      </c>
      <c r="D120" s="42">
        <f>IFERROR(AVERAGE(Data!D125), "  ")</f>
        <v>144</v>
      </c>
      <c r="E120" s="42">
        <f>IFERROR(AVERAGE(Data!E125), "  ")</f>
        <v>320</v>
      </c>
      <c r="F120" s="42">
        <f>IFERROR(AVERAGE(Data!F125), "  ")</f>
        <v>685</v>
      </c>
      <c r="G120" s="42">
        <f>IFERROR(AVERAGE(Data!G125), "  ")</f>
        <v>365</v>
      </c>
      <c r="H120" s="44">
        <f>IFERROR(AVERAGE(Data!H125), "  ")</f>
        <v>-8.666666666666667E-2</v>
      </c>
      <c r="I120" s="44">
        <f>IFERROR(AVERAGE(Data!I125), "  ")</f>
        <v>-0.10614525139664804</v>
      </c>
      <c r="J120" s="42">
        <f>IFERROR(AVERAGE(Data!J125), "  ")</f>
        <v>-38</v>
      </c>
      <c r="K120" s="44">
        <f>IFERROR(AVERAGE(Data!K125), "  ")</f>
        <v>2.391629297458894E-2</v>
      </c>
      <c r="L120" s="45" t="str">
        <f>IFERROR(AVERAGE(Data!L125), "  ")</f>
        <v xml:space="preserve">  </v>
      </c>
    </row>
    <row r="121" spans="1:12" x14ac:dyDescent="0.2">
      <c r="A121" s="43">
        <f>Data!A126</f>
        <v>39473</v>
      </c>
      <c r="B121" s="42">
        <f>IFERROR(AVERAGE(Data!B126), "  ")</f>
        <v>150</v>
      </c>
      <c r="C121" s="42">
        <f>IFERROR(AVERAGE(Data!C126), "  ")</f>
        <v>30</v>
      </c>
      <c r="D121" s="42">
        <f>IFERROR(AVERAGE(Data!D126), "  ")</f>
        <v>171</v>
      </c>
      <c r="E121" s="42">
        <f>IFERROR(AVERAGE(Data!E126), "  ")</f>
        <v>351</v>
      </c>
      <c r="F121" s="42">
        <f>IFERROR(AVERAGE(Data!F126), "  ")</f>
        <v>648</v>
      </c>
      <c r="G121" s="42">
        <f>IFERROR(AVERAGE(Data!G126), "  ")</f>
        <v>297</v>
      </c>
      <c r="H121" s="44">
        <f>IFERROR(AVERAGE(Data!H126), "  ")</f>
        <v>-5.4014598540145987E-2</v>
      </c>
      <c r="I121" s="44">
        <f>IFERROR(AVERAGE(Data!I126), "  ")</f>
        <v>9.6875000000000003E-2</v>
      </c>
      <c r="J121" s="42">
        <f>IFERROR(AVERAGE(Data!J126), "  ")</f>
        <v>31</v>
      </c>
      <c r="K121" s="44">
        <f>IFERROR(AVERAGE(Data!K126), "  ")</f>
        <v>-7.5606276747503573E-2</v>
      </c>
      <c r="L121" s="45" t="str">
        <f>IFERROR(AVERAGE(Data!L126), "  ")</f>
        <v xml:space="preserve">  </v>
      </c>
    </row>
    <row r="122" spans="1:12" x14ac:dyDescent="0.2">
      <c r="A122" s="43">
        <f>Data!A127</f>
        <v>39480</v>
      </c>
      <c r="B122" s="42">
        <f>IFERROR(AVERAGE(Data!B127), "  ")</f>
        <v>136</v>
      </c>
      <c r="C122" s="42">
        <f>IFERROR(AVERAGE(Data!C127), "  ")</f>
        <v>22</v>
      </c>
      <c r="D122" s="42">
        <f>IFERROR(AVERAGE(Data!D127), "  ")</f>
        <v>183</v>
      </c>
      <c r="E122" s="42">
        <f>IFERROR(AVERAGE(Data!E127), "  ")</f>
        <v>341</v>
      </c>
      <c r="F122" s="42">
        <f>IFERROR(AVERAGE(Data!F127), "  ")</f>
        <v>770</v>
      </c>
      <c r="G122" s="42">
        <f>IFERROR(AVERAGE(Data!G127), "  ")</f>
        <v>429</v>
      </c>
      <c r="H122" s="44">
        <f>IFERROR(AVERAGE(Data!H127), "  ")</f>
        <v>0.18827160493827161</v>
      </c>
      <c r="I122" s="44">
        <f>IFERROR(AVERAGE(Data!I127), "  ")</f>
        <v>-2.8490028490028491E-2</v>
      </c>
      <c r="J122" s="42">
        <f>IFERROR(AVERAGE(Data!J127), "  ")</f>
        <v>-10</v>
      </c>
      <c r="K122" s="44">
        <f>IFERROR(AVERAGE(Data!K127), "  ")</f>
        <v>0.11756168359941944</v>
      </c>
      <c r="L122" s="45" t="str">
        <f>IFERROR(AVERAGE(Data!L127), "  ")</f>
        <v xml:space="preserve">  </v>
      </c>
    </row>
    <row r="123" spans="1:12" x14ac:dyDescent="0.2">
      <c r="A123" s="43">
        <f>Data!A128</f>
        <v>39487</v>
      </c>
      <c r="B123" s="42">
        <f>IFERROR(AVERAGE(Data!B128), "  ")</f>
        <v>197</v>
      </c>
      <c r="C123" s="42">
        <f>IFERROR(AVERAGE(Data!C128), "  ")</f>
        <v>16</v>
      </c>
      <c r="D123" s="42">
        <f>IFERROR(AVERAGE(Data!D128), "  ")</f>
        <v>183</v>
      </c>
      <c r="E123" s="42">
        <f>IFERROR(AVERAGE(Data!E128), "  ")</f>
        <v>396</v>
      </c>
      <c r="F123" s="42">
        <f>IFERROR(AVERAGE(Data!F128), "  ")</f>
        <v>749</v>
      </c>
      <c r="G123" s="42">
        <f>IFERROR(AVERAGE(Data!G128), "  ")</f>
        <v>353</v>
      </c>
      <c r="H123" s="44">
        <f>IFERROR(AVERAGE(Data!H128), "  ")</f>
        <v>-2.7272727272727271E-2</v>
      </c>
      <c r="I123" s="44">
        <f>IFERROR(AVERAGE(Data!I128), "  ")</f>
        <v>0.16129032258064516</v>
      </c>
      <c r="J123" s="42">
        <f>IFERROR(AVERAGE(Data!J128), "  ")</f>
        <v>55</v>
      </c>
      <c r="K123" s="44">
        <f>IFERROR(AVERAGE(Data!K128), "  ")</f>
        <v>-1.3175230566534914E-2</v>
      </c>
      <c r="L123" s="45" t="str">
        <f>IFERROR(AVERAGE(Data!L128), "  ")</f>
        <v xml:space="preserve">  </v>
      </c>
    </row>
    <row r="124" spans="1:12" x14ac:dyDescent="0.2">
      <c r="A124" s="43">
        <f>Data!A129</f>
        <v>39494</v>
      </c>
      <c r="B124" s="42">
        <f>IFERROR(AVERAGE(Data!B129), "  ")</f>
        <v>110</v>
      </c>
      <c r="C124" s="42">
        <f>IFERROR(AVERAGE(Data!C129), "  ")</f>
        <v>44</v>
      </c>
      <c r="D124" s="42">
        <f>IFERROR(AVERAGE(Data!D129), "  ")</f>
        <v>90</v>
      </c>
      <c r="E124" s="42">
        <f>IFERROR(AVERAGE(Data!E129), "  ")</f>
        <v>244</v>
      </c>
      <c r="F124" s="42">
        <f>IFERROR(AVERAGE(Data!F129), "  ")</f>
        <v>757</v>
      </c>
      <c r="G124" s="42">
        <f>IFERROR(AVERAGE(Data!G129), "  ")</f>
        <v>513</v>
      </c>
      <c r="H124" s="44">
        <f>IFERROR(AVERAGE(Data!H129), "  ")</f>
        <v>1.0680907877169559E-2</v>
      </c>
      <c r="I124" s="44">
        <f>IFERROR(AVERAGE(Data!I129), "  ")</f>
        <v>-0.38383838383838381</v>
      </c>
      <c r="J124" s="42">
        <f>IFERROR(AVERAGE(Data!J129), "  ")</f>
        <v>-152</v>
      </c>
      <c r="K124" s="44">
        <f>IFERROR(AVERAGE(Data!K129), "  ")</f>
        <v>-0.17717391304347826</v>
      </c>
      <c r="L124" s="45" t="str">
        <f>IFERROR(AVERAGE(Data!L129), "  ")</f>
        <v xml:space="preserve">  </v>
      </c>
    </row>
    <row r="125" spans="1:12" x14ac:dyDescent="0.2">
      <c r="A125" s="43">
        <f>Data!A130</f>
        <v>39501</v>
      </c>
      <c r="B125" s="42">
        <f>IFERROR(AVERAGE(Data!B130), "  ")</f>
        <v>160</v>
      </c>
      <c r="C125" s="42">
        <f>IFERROR(AVERAGE(Data!C130), "  ")</f>
        <v>29</v>
      </c>
      <c r="D125" s="42">
        <f>IFERROR(AVERAGE(Data!D130), "  ")</f>
        <v>156</v>
      </c>
      <c r="E125" s="42">
        <f>IFERROR(AVERAGE(Data!E130), "  ")</f>
        <v>345</v>
      </c>
      <c r="F125" s="42">
        <f>IFERROR(AVERAGE(Data!F130), "  ")</f>
        <v>607</v>
      </c>
      <c r="G125" s="42">
        <f>IFERROR(AVERAGE(Data!G130), "  ")</f>
        <v>262</v>
      </c>
      <c r="H125" s="44">
        <f>IFERROR(AVERAGE(Data!H130), "  ")</f>
        <v>-0.19815059445178335</v>
      </c>
      <c r="I125" s="44">
        <f>IFERROR(AVERAGE(Data!I130), "  ")</f>
        <v>0.41393442622950821</v>
      </c>
      <c r="J125" s="42">
        <f>IFERROR(AVERAGE(Data!J130), "  ")</f>
        <v>101</v>
      </c>
      <c r="K125" s="44">
        <f>IFERROR(AVERAGE(Data!K130), "  ")</f>
        <v>-0.2147477360931436</v>
      </c>
      <c r="L125" s="45" t="str">
        <f>IFERROR(AVERAGE(Data!L130), "  ")</f>
        <v xml:space="preserve">  </v>
      </c>
    </row>
    <row r="126" spans="1:12" x14ac:dyDescent="0.2">
      <c r="A126" s="43">
        <f>Data!A131</f>
        <v>39508</v>
      </c>
      <c r="B126" s="42">
        <f>IFERROR(AVERAGE(Data!B131), "  ")</f>
        <v>126</v>
      </c>
      <c r="C126" s="42">
        <f>IFERROR(AVERAGE(Data!C131), "  ")</f>
        <v>19</v>
      </c>
      <c r="D126" s="42">
        <f>IFERROR(AVERAGE(Data!D131), "  ")</f>
        <v>142</v>
      </c>
      <c r="E126" s="42">
        <f>IFERROR(AVERAGE(Data!E131), "  ")</f>
        <v>287</v>
      </c>
      <c r="F126" s="42">
        <f>IFERROR(AVERAGE(Data!F131), "  ")</f>
        <v>627</v>
      </c>
      <c r="G126" s="42">
        <f>IFERROR(AVERAGE(Data!G131), "  ")</f>
        <v>340</v>
      </c>
      <c r="H126" s="44">
        <f>IFERROR(AVERAGE(Data!H131), "  ")</f>
        <v>3.2948929159802305E-2</v>
      </c>
      <c r="I126" s="44">
        <f>IFERROR(AVERAGE(Data!I131), "  ")</f>
        <v>-0.1681159420289855</v>
      </c>
      <c r="J126" s="42">
        <f>IFERROR(AVERAGE(Data!J131), "  ")</f>
        <v>-58</v>
      </c>
      <c r="K126" s="44">
        <f>IFERROR(AVERAGE(Data!K131), "  ")</f>
        <v>-0.14577656675749318</v>
      </c>
      <c r="L126" s="45" t="str">
        <f>IFERROR(AVERAGE(Data!L131), "  ")</f>
        <v xml:space="preserve">  </v>
      </c>
    </row>
    <row r="127" spans="1:12" x14ac:dyDescent="0.2">
      <c r="A127" s="43">
        <f>Data!A132</f>
        <v>39515</v>
      </c>
      <c r="B127" s="42">
        <f>IFERROR(AVERAGE(Data!B132), "  ")</f>
        <v>231</v>
      </c>
      <c r="C127" s="42">
        <f>IFERROR(AVERAGE(Data!C132), "  ")</f>
        <v>16</v>
      </c>
      <c r="D127" s="42">
        <f>IFERROR(AVERAGE(Data!D132), "  ")</f>
        <v>107</v>
      </c>
      <c r="E127" s="42">
        <f>IFERROR(AVERAGE(Data!E132), "  ")</f>
        <v>354</v>
      </c>
      <c r="F127" s="42">
        <f>IFERROR(AVERAGE(Data!F132), "  ")</f>
        <v>713</v>
      </c>
      <c r="G127" s="42">
        <f>IFERROR(AVERAGE(Data!G132), "  ")</f>
        <v>359</v>
      </c>
      <c r="H127" s="44">
        <f>IFERROR(AVERAGE(Data!H132), "  ")</f>
        <v>0.13716108452950559</v>
      </c>
      <c r="I127" s="44">
        <f>IFERROR(AVERAGE(Data!I132), "  ")</f>
        <v>0.23344947735191637</v>
      </c>
      <c r="J127" s="42">
        <f>IFERROR(AVERAGE(Data!J132), "  ")</f>
        <v>67</v>
      </c>
      <c r="K127" s="44">
        <f>IFERROR(AVERAGE(Data!K132), "  ")</f>
        <v>9.6923076923076917E-2</v>
      </c>
      <c r="L127" s="45" t="str">
        <f>IFERROR(AVERAGE(Data!L132), "  ")</f>
        <v xml:space="preserve">  </v>
      </c>
    </row>
    <row r="128" spans="1:12" x14ac:dyDescent="0.2">
      <c r="A128" s="43">
        <f>Data!A133</f>
        <v>39522</v>
      </c>
      <c r="B128" s="42">
        <f>IFERROR(AVERAGE(Data!B133), "  ")</f>
        <v>188</v>
      </c>
      <c r="C128" s="42">
        <f>IFERROR(AVERAGE(Data!C133), "  ")</f>
        <v>26</v>
      </c>
      <c r="D128" s="42">
        <f>IFERROR(AVERAGE(Data!D133), "  ")</f>
        <v>135</v>
      </c>
      <c r="E128" s="42">
        <f>IFERROR(AVERAGE(Data!E133), "  ")</f>
        <v>349</v>
      </c>
      <c r="F128" s="42">
        <f>IFERROR(AVERAGE(Data!F133), "  ")</f>
        <v>661</v>
      </c>
      <c r="G128" s="42">
        <f>IFERROR(AVERAGE(Data!G133), "  ")</f>
        <v>312</v>
      </c>
      <c r="H128" s="44">
        <f>IFERROR(AVERAGE(Data!H133), "  ")</f>
        <v>-7.2931276297335201E-2</v>
      </c>
      <c r="I128" s="44">
        <f>IFERROR(AVERAGE(Data!I133), "  ")</f>
        <v>-1.4124293785310734E-2</v>
      </c>
      <c r="J128" s="42">
        <f>IFERROR(AVERAGE(Data!J133), "  ")</f>
        <v>-5</v>
      </c>
      <c r="K128" s="44">
        <f>IFERROR(AVERAGE(Data!K133), "  ")</f>
        <v>0.15761821366024517</v>
      </c>
      <c r="L128" s="45" t="str">
        <f>IFERROR(AVERAGE(Data!L133), "  ")</f>
        <v xml:space="preserve">  </v>
      </c>
    </row>
    <row r="129" spans="1:12" x14ac:dyDescent="0.2">
      <c r="A129" s="43">
        <f>Data!A134</f>
        <v>39529</v>
      </c>
      <c r="B129" s="42">
        <f>IFERROR(AVERAGE(Data!B134), "  ")</f>
        <v>203</v>
      </c>
      <c r="C129" s="42">
        <f>IFERROR(AVERAGE(Data!C134), "  ")</f>
        <v>19</v>
      </c>
      <c r="D129" s="42">
        <f>IFERROR(AVERAGE(Data!D134), "  ")</f>
        <v>80</v>
      </c>
      <c r="E129" s="42">
        <f>IFERROR(AVERAGE(Data!E134), "  ")</f>
        <v>302</v>
      </c>
      <c r="F129" s="42">
        <f>IFERROR(AVERAGE(Data!F134), "  ")</f>
        <v>600</v>
      </c>
      <c r="G129" s="42">
        <f>IFERROR(AVERAGE(Data!G134), "  ")</f>
        <v>298</v>
      </c>
      <c r="H129" s="44">
        <f>IFERROR(AVERAGE(Data!H134), "  ")</f>
        <v>-9.2284417549167927E-2</v>
      </c>
      <c r="I129" s="44">
        <f>IFERROR(AVERAGE(Data!I134), "  ")</f>
        <v>-0.1346704871060172</v>
      </c>
      <c r="J129" s="42">
        <f>IFERROR(AVERAGE(Data!J134), "  ")</f>
        <v>-47</v>
      </c>
      <c r="K129" s="44">
        <f>IFERROR(AVERAGE(Data!K134), "  ")</f>
        <v>0.10905730129390019</v>
      </c>
      <c r="L129" s="45" t="str">
        <f>IFERROR(AVERAGE(Data!L134), "  ")</f>
        <v xml:space="preserve">  </v>
      </c>
    </row>
    <row r="130" spans="1:12" x14ac:dyDescent="0.2">
      <c r="A130" s="43">
        <f>Data!A135</f>
        <v>39536</v>
      </c>
      <c r="B130" s="42">
        <f>IFERROR(AVERAGE(Data!B135), "  ")</f>
        <v>261</v>
      </c>
      <c r="C130" s="42">
        <f>IFERROR(AVERAGE(Data!C135), "  ")</f>
        <v>4</v>
      </c>
      <c r="D130" s="42">
        <f>IFERROR(AVERAGE(Data!D135), "  ")</f>
        <v>67</v>
      </c>
      <c r="E130" s="42">
        <f>IFERROR(AVERAGE(Data!E135), "  ")</f>
        <v>332</v>
      </c>
      <c r="F130" s="42">
        <f>IFERROR(AVERAGE(Data!F135), "  ")</f>
        <v>508</v>
      </c>
      <c r="G130" s="42">
        <f>IFERROR(AVERAGE(Data!G135), "  ")</f>
        <v>176</v>
      </c>
      <c r="H130" s="44">
        <f>IFERROR(AVERAGE(Data!H135), "  ")</f>
        <v>-0.15333333333333332</v>
      </c>
      <c r="I130" s="44">
        <f>IFERROR(AVERAGE(Data!I135), "  ")</f>
        <v>9.9337748344370855E-2</v>
      </c>
      <c r="J130" s="42">
        <f>IFERROR(AVERAGE(Data!J135), "  ")</f>
        <v>30</v>
      </c>
      <c r="K130" s="44">
        <f>IFERROR(AVERAGE(Data!K135), "  ")</f>
        <v>7.8556263269639062E-2</v>
      </c>
      <c r="L130" s="45" t="str">
        <f>IFERROR(AVERAGE(Data!L135), "  ")</f>
        <v xml:space="preserve">  </v>
      </c>
    </row>
    <row r="131" spans="1:12" x14ac:dyDescent="0.2">
      <c r="A131" s="43">
        <f>Data!A136</f>
        <v>39543</v>
      </c>
      <c r="B131" s="42">
        <f>IFERROR(AVERAGE(Data!B136), "  ")</f>
        <v>341</v>
      </c>
      <c r="C131" s="42">
        <f>IFERROR(AVERAGE(Data!C136), "  ")</f>
        <v>7</v>
      </c>
      <c r="D131" s="42">
        <f>IFERROR(AVERAGE(Data!D136), "  ")</f>
        <v>122</v>
      </c>
      <c r="E131" s="42">
        <f>IFERROR(AVERAGE(Data!E136), "  ")</f>
        <v>470</v>
      </c>
      <c r="F131" s="42">
        <f>IFERROR(AVERAGE(Data!F136), "  ")</f>
        <v>498</v>
      </c>
      <c r="G131" s="42">
        <f>IFERROR(AVERAGE(Data!G136), "  ")</f>
        <v>28</v>
      </c>
      <c r="H131" s="44">
        <f>IFERROR(AVERAGE(Data!H136), "  ")</f>
        <v>-1.968503937007874E-2</v>
      </c>
      <c r="I131" s="44">
        <f>IFERROR(AVERAGE(Data!I136), "  ")</f>
        <v>0.41566265060240964</v>
      </c>
      <c r="J131" s="42">
        <f>IFERROR(AVERAGE(Data!J136), "  ")</f>
        <v>138</v>
      </c>
      <c r="K131" s="44">
        <f>IFERROR(AVERAGE(Data!K136), "  ")</f>
        <v>0.71134020618556704</v>
      </c>
      <c r="L131" s="45" t="str">
        <f>IFERROR(AVERAGE(Data!L136), "  ")</f>
        <v xml:space="preserve">  </v>
      </c>
    </row>
    <row r="132" spans="1:12" x14ac:dyDescent="0.2">
      <c r="A132" s="43">
        <f>Data!A137</f>
        <v>39550</v>
      </c>
      <c r="B132" s="42">
        <f>IFERROR(AVERAGE(Data!B137), "  ")</f>
        <v>276</v>
      </c>
      <c r="C132" s="42">
        <f>IFERROR(AVERAGE(Data!C137), "  ")</f>
        <v>5</v>
      </c>
      <c r="D132" s="42">
        <f>IFERROR(AVERAGE(Data!D137), "  ")</f>
        <v>83</v>
      </c>
      <c r="E132" s="42">
        <f>IFERROR(AVERAGE(Data!E137), "  ")</f>
        <v>364</v>
      </c>
      <c r="F132" s="42">
        <f>IFERROR(AVERAGE(Data!F137), "  ")</f>
        <v>395</v>
      </c>
      <c r="G132" s="42">
        <f>IFERROR(AVERAGE(Data!G137), "  ")</f>
        <v>31</v>
      </c>
      <c r="H132" s="44">
        <f>IFERROR(AVERAGE(Data!H137), "  ")</f>
        <v>-0.20682730923694778</v>
      </c>
      <c r="I132" s="44">
        <f>IFERROR(AVERAGE(Data!I137), "  ")</f>
        <v>-0.22553191489361701</v>
      </c>
      <c r="J132" s="42">
        <f>IFERROR(AVERAGE(Data!J137), "  ")</f>
        <v>-106</v>
      </c>
      <c r="K132" s="44">
        <f>IFERROR(AVERAGE(Data!K137), "  ")</f>
        <v>-0.12803532008830021</v>
      </c>
      <c r="L132" s="45" t="str">
        <f>IFERROR(AVERAGE(Data!L137), "  ")</f>
        <v xml:space="preserve">  </v>
      </c>
    </row>
    <row r="133" spans="1:12" x14ac:dyDescent="0.2">
      <c r="A133" s="43">
        <f>Data!A138</f>
        <v>39557</v>
      </c>
      <c r="B133" s="42">
        <f>IFERROR(AVERAGE(Data!B138), "  ")</f>
        <v>301</v>
      </c>
      <c r="C133" s="42">
        <f>IFERROR(AVERAGE(Data!C138), "  ")</f>
        <v>0</v>
      </c>
      <c r="D133" s="42">
        <f>IFERROR(AVERAGE(Data!D138), "  ")</f>
        <v>57</v>
      </c>
      <c r="E133" s="42">
        <f>IFERROR(AVERAGE(Data!E138), "  ")</f>
        <v>358</v>
      </c>
      <c r="F133" s="42">
        <f>IFERROR(AVERAGE(Data!F138), "  ")</f>
        <v>446</v>
      </c>
      <c r="G133" s="42">
        <f>IFERROR(AVERAGE(Data!G138), "  ")</f>
        <v>88</v>
      </c>
      <c r="H133" s="44">
        <f>IFERROR(AVERAGE(Data!H138), "  ")</f>
        <v>0.12911392405063291</v>
      </c>
      <c r="I133" s="44">
        <f>IFERROR(AVERAGE(Data!I138), "  ")</f>
        <v>-1.6483516483516484E-2</v>
      </c>
      <c r="J133" s="42">
        <f>IFERROR(AVERAGE(Data!J138), "  ")</f>
        <v>-6</v>
      </c>
      <c r="K133" s="44">
        <f>IFERROR(AVERAGE(Data!K138), "  ")</f>
        <v>-0.16322701688555347</v>
      </c>
      <c r="L133" s="45" t="str">
        <f>IFERROR(AVERAGE(Data!L138), "  ")</f>
        <v xml:space="preserve">  </v>
      </c>
    </row>
    <row r="134" spans="1:12" x14ac:dyDescent="0.2">
      <c r="A134" s="43">
        <f>Data!A139</f>
        <v>39564</v>
      </c>
      <c r="B134" s="42">
        <f>IFERROR(AVERAGE(Data!B139), "  ")</f>
        <v>297</v>
      </c>
      <c r="C134" s="42">
        <f>IFERROR(AVERAGE(Data!C139), "  ")</f>
        <v>9</v>
      </c>
      <c r="D134" s="42">
        <f>IFERROR(AVERAGE(Data!D139), "  ")</f>
        <v>63</v>
      </c>
      <c r="E134" s="42">
        <f>IFERROR(AVERAGE(Data!E139), "  ")</f>
        <v>369</v>
      </c>
      <c r="F134" s="42">
        <f>IFERROR(AVERAGE(Data!F139), "  ")</f>
        <v>317</v>
      </c>
      <c r="G134" s="42">
        <f>IFERROR(AVERAGE(Data!G139), "  ")</f>
        <v>-52</v>
      </c>
      <c r="H134" s="44">
        <f>IFERROR(AVERAGE(Data!H139), "  ")</f>
        <v>-0.28923766816143498</v>
      </c>
      <c r="I134" s="44">
        <f>IFERROR(AVERAGE(Data!I139), "  ")</f>
        <v>3.0726256983240222E-2</v>
      </c>
      <c r="J134" s="42">
        <f>IFERROR(AVERAGE(Data!J139), "  ")</f>
        <v>11</v>
      </c>
      <c r="K134" s="44">
        <f>IFERROR(AVERAGE(Data!K139), "  ")</f>
        <v>-0.45438898450946646</v>
      </c>
      <c r="L134" s="45" t="str">
        <f>IFERROR(AVERAGE(Data!L139), "  ")</f>
        <v xml:space="preserve">  </v>
      </c>
    </row>
    <row r="135" spans="1:12" x14ac:dyDescent="0.2">
      <c r="A135" s="43">
        <f>Data!A140</f>
        <v>39571</v>
      </c>
      <c r="B135" s="42">
        <f>IFERROR(AVERAGE(Data!B140), "  ")</f>
        <v>167</v>
      </c>
      <c r="C135" s="42">
        <f>IFERROR(AVERAGE(Data!C140), "  ")</f>
        <v>16</v>
      </c>
      <c r="D135" s="42">
        <f>IFERROR(AVERAGE(Data!D140), "  ")</f>
        <v>23</v>
      </c>
      <c r="E135" s="42">
        <f>IFERROR(AVERAGE(Data!E140), "  ")</f>
        <v>206</v>
      </c>
      <c r="F135" s="42">
        <f>IFERROR(AVERAGE(Data!F140), "  ")</f>
        <v>347</v>
      </c>
      <c r="G135" s="42">
        <f>IFERROR(AVERAGE(Data!G140), "  ")</f>
        <v>141</v>
      </c>
      <c r="H135" s="44">
        <f>IFERROR(AVERAGE(Data!H140), "  ")</f>
        <v>9.4637223974763401E-2</v>
      </c>
      <c r="I135" s="44">
        <f>IFERROR(AVERAGE(Data!I140), "  ")</f>
        <v>-0.44173441734417346</v>
      </c>
      <c r="J135" s="42">
        <f>IFERROR(AVERAGE(Data!J140), "  ")</f>
        <v>-163</v>
      </c>
      <c r="K135" s="44">
        <f>IFERROR(AVERAGE(Data!K140), "  ")</f>
        <v>-0.37924865831842575</v>
      </c>
      <c r="L135" s="45" t="str">
        <f>IFERROR(AVERAGE(Data!L140), "  ")</f>
        <v xml:space="preserve">  </v>
      </c>
    </row>
    <row r="136" spans="1:12" x14ac:dyDescent="0.2">
      <c r="A136" s="43">
        <f>Data!A141</f>
        <v>39578</v>
      </c>
      <c r="B136" s="42">
        <f>IFERROR(AVERAGE(Data!B141), "  ")</f>
        <v>91</v>
      </c>
      <c r="C136" s="42">
        <f>IFERROR(AVERAGE(Data!C141), "  ")</f>
        <v>13</v>
      </c>
      <c r="D136" s="42">
        <f>IFERROR(AVERAGE(Data!D141), "  ")</f>
        <v>43</v>
      </c>
      <c r="E136" s="42">
        <f>IFERROR(AVERAGE(Data!E141), "  ")</f>
        <v>147</v>
      </c>
      <c r="F136" s="42">
        <f>IFERROR(AVERAGE(Data!F141), "  ")</f>
        <v>278</v>
      </c>
      <c r="G136" s="42">
        <f>IFERROR(AVERAGE(Data!G141), "  ")</f>
        <v>131</v>
      </c>
      <c r="H136" s="44">
        <f>IFERROR(AVERAGE(Data!H141), "  ")</f>
        <v>-0.19884726224783861</v>
      </c>
      <c r="I136" s="44">
        <f>IFERROR(AVERAGE(Data!I141), "  ")</f>
        <v>-0.28640776699029125</v>
      </c>
      <c r="J136" s="42">
        <f>IFERROR(AVERAGE(Data!J141), "  ")</f>
        <v>-59</v>
      </c>
      <c r="K136" s="44">
        <f>IFERROR(AVERAGE(Data!K141), "  ")</f>
        <v>-0.29974811083123426</v>
      </c>
      <c r="L136" s="45" t="str">
        <f>IFERROR(AVERAGE(Data!L141), "  ")</f>
        <v xml:space="preserve">  </v>
      </c>
    </row>
    <row r="137" spans="1:12" x14ac:dyDescent="0.2">
      <c r="A137" s="43">
        <f>Data!A142</f>
        <v>39585</v>
      </c>
      <c r="B137" s="42">
        <f>IFERROR(AVERAGE(Data!B142), "  ")</f>
        <v>306</v>
      </c>
      <c r="C137" s="42">
        <f>IFERROR(AVERAGE(Data!C142), "  ")</f>
        <v>9</v>
      </c>
      <c r="D137" s="42">
        <f>IFERROR(AVERAGE(Data!D142), "  ")</f>
        <v>55</v>
      </c>
      <c r="E137" s="42">
        <f>IFERROR(AVERAGE(Data!E142), "  ")</f>
        <v>370</v>
      </c>
      <c r="F137" s="42">
        <f>IFERROR(AVERAGE(Data!F142), "  ")</f>
        <v>259</v>
      </c>
      <c r="G137" s="42">
        <f>IFERROR(AVERAGE(Data!G142), "  ")</f>
        <v>-111</v>
      </c>
      <c r="H137" s="44">
        <f>IFERROR(AVERAGE(Data!H142), "  ")</f>
        <v>-6.83453237410072E-2</v>
      </c>
      <c r="I137" s="44">
        <f>IFERROR(AVERAGE(Data!I142), "  ")</f>
        <v>1.5170068027210883</v>
      </c>
      <c r="J137" s="42">
        <f>IFERROR(AVERAGE(Data!J142), "  ")</f>
        <v>223</v>
      </c>
      <c r="K137" s="44">
        <f>IFERROR(AVERAGE(Data!K142), "  ")</f>
        <v>-0.32020997375328086</v>
      </c>
      <c r="L137" s="45" t="str">
        <f>IFERROR(AVERAGE(Data!L142), "  ")</f>
        <v xml:space="preserve">  </v>
      </c>
    </row>
    <row r="138" spans="1:12" x14ac:dyDescent="0.2">
      <c r="A138" s="43">
        <f>Data!A143</f>
        <v>39592</v>
      </c>
      <c r="B138" s="42">
        <f>IFERROR(AVERAGE(Data!B143), "  ")</f>
        <v>358</v>
      </c>
      <c r="C138" s="42">
        <f>IFERROR(AVERAGE(Data!C143), "  ")</f>
        <v>42</v>
      </c>
      <c r="D138" s="42">
        <f>IFERROR(AVERAGE(Data!D143), "  ")</f>
        <v>22</v>
      </c>
      <c r="E138" s="42">
        <f>IFERROR(AVERAGE(Data!E143), "  ")</f>
        <v>422</v>
      </c>
      <c r="F138" s="42">
        <f>IFERROR(AVERAGE(Data!F143), "  ")</f>
        <v>436</v>
      </c>
      <c r="G138" s="42">
        <f>IFERROR(AVERAGE(Data!G143), "  ")</f>
        <v>14</v>
      </c>
      <c r="H138" s="44">
        <f>IFERROR(AVERAGE(Data!H143), "  ")</f>
        <v>0.68339768339768336</v>
      </c>
      <c r="I138" s="44">
        <f>IFERROR(AVERAGE(Data!I143), "  ")</f>
        <v>0.14054054054054055</v>
      </c>
      <c r="J138" s="42">
        <f>IFERROR(AVERAGE(Data!J143), "  ")</f>
        <v>52</v>
      </c>
      <c r="K138" s="44">
        <f>IFERROR(AVERAGE(Data!K143), "  ")</f>
        <v>-3.9647577092511016E-2</v>
      </c>
      <c r="L138" s="45" t="str">
        <f>IFERROR(AVERAGE(Data!L143), "  ")</f>
        <v xml:space="preserve">  </v>
      </c>
    </row>
    <row r="139" spans="1:12" x14ac:dyDescent="0.2">
      <c r="A139" s="43">
        <f>Data!A144</f>
        <v>39599</v>
      </c>
      <c r="B139" s="42">
        <f>IFERROR(AVERAGE(Data!B144), "  ")</f>
        <v>344</v>
      </c>
      <c r="C139" s="42">
        <f>IFERROR(AVERAGE(Data!C144), "  ")</f>
        <v>14</v>
      </c>
      <c r="D139" s="42">
        <f>IFERROR(AVERAGE(Data!D144), "  ")</f>
        <v>11</v>
      </c>
      <c r="E139" s="42">
        <f>IFERROR(AVERAGE(Data!E144), "  ")</f>
        <v>369</v>
      </c>
      <c r="F139" s="42">
        <f>IFERROR(AVERAGE(Data!F144), "  ")</f>
        <v>400</v>
      </c>
      <c r="G139" s="42">
        <f>IFERROR(AVERAGE(Data!G144), "  ")</f>
        <v>31</v>
      </c>
      <c r="H139" s="44">
        <f>IFERROR(AVERAGE(Data!H144), "  ")</f>
        <v>-8.2568807339449546E-2</v>
      </c>
      <c r="I139" s="44">
        <f>IFERROR(AVERAGE(Data!I144), "  ")</f>
        <v>-0.12559241706161137</v>
      </c>
      <c r="J139" s="42">
        <f>IFERROR(AVERAGE(Data!J144), "  ")</f>
        <v>-53</v>
      </c>
      <c r="K139" s="44">
        <f>IFERROR(AVERAGE(Data!K144), "  ")</f>
        <v>-0.14163090128755365</v>
      </c>
      <c r="L139" s="45" t="str">
        <f>IFERROR(AVERAGE(Data!L144), "  ")</f>
        <v xml:space="preserve">  </v>
      </c>
    </row>
    <row r="140" spans="1:12" x14ac:dyDescent="0.2">
      <c r="A140" s="43">
        <f>Data!A145</f>
        <v>39606</v>
      </c>
      <c r="B140" s="42">
        <f>IFERROR(AVERAGE(Data!B145), "  ")</f>
        <v>328</v>
      </c>
      <c r="C140" s="42">
        <f>IFERROR(AVERAGE(Data!C145), "  ")</f>
        <v>31</v>
      </c>
      <c r="D140" s="42">
        <f>IFERROR(AVERAGE(Data!D145), "  ")</f>
        <v>52</v>
      </c>
      <c r="E140" s="42">
        <f>IFERROR(AVERAGE(Data!E145), "  ")</f>
        <v>411</v>
      </c>
      <c r="F140" s="42">
        <f>IFERROR(AVERAGE(Data!F145), "  ")</f>
        <v>438</v>
      </c>
      <c r="G140" s="42">
        <f>IFERROR(AVERAGE(Data!G145), "  ")</f>
        <v>27</v>
      </c>
      <c r="H140" s="44">
        <f>IFERROR(AVERAGE(Data!H145), "  ")</f>
        <v>9.5000000000000001E-2</v>
      </c>
      <c r="I140" s="44">
        <f>IFERROR(AVERAGE(Data!I145), "  ")</f>
        <v>0.11382113821138211</v>
      </c>
      <c r="J140" s="42">
        <f>IFERROR(AVERAGE(Data!J145), "  ")</f>
        <v>42</v>
      </c>
      <c r="K140" s="44">
        <f>IFERROR(AVERAGE(Data!K145), "  ")</f>
        <v>-9.3167701863354033E-2</v>
      </c>
      <c r="L140" s="45" t="str">
        <f>IFERROR(AVERAGE(Data!L145), "  ")</f>
        <v xml:space="preserve">  </v>
      </c>
    </row>
    <row r="141" spans="1:12" x14ac:dyDescent="0.2">
      <c r="A141" s="43">
        <f>Data!A146</f>
        <v>39613</v>
      </c>
      <c r="B141" s="42">
        <f>IFERROR(AVERAGE(Data!B146), "  ")</f>
        <v>254</v>
      </c>
      <c r="C141" s="42">
        <f>IFERROR(AVERAGE(Data!C146), "  ")</f>
        <v>47</v>
      </c>
      <c r="D141" s="42">
        <f>IFERROR(AVERAGE(Data!D146), "  ")</f>
        <v>21</v>
      </c>
      <c r="E141" s="42">
        <f>IFERROR(AVERAGE(Data!E146), "  ")</f>
        <v>322</v>
      </c>
      <c r="F141" s="42">
        <f>IFERROR(AVERAGE(Data!F146), "  ")</f>
        <v>503</v>
      </c>
      <c r="G141" s="42">
        <f>IFERROR(AVERAGE(Data!G146), "  ")</f>
        <v>181</v>
      </c>
      <c r="H141" s="44">
        <f>IFERROR(AVERAGE(Data!H146), "  ")</f>
        <v>0.14840182648401826</v>
      </c>
      <c r="I141" s="44">
        <f>IFERROR(AVERAGE(Data!I146), "  ")</f>
        <v>-0.21654501216545013</v>
      </c>
      <c r="J141" s="42">
        <f>IFERROR(AVERAGE(Data!J146), "  ")</f>
        <v>-89</v>
      </c>
      <c r="K141" s="44">
        <f>IFERROR(AVERAGE(Data!K146), "  ")</f>
        <v>-7.5367647058823525E-2</v>
      </c>
      <c r="L141" s="45" t="str">
        <f>IFERROR(AVERAGE(Data!L146), "  ")</f>
        <v xml:space="preserve">  </v>
      </c>
    </row>
    <row r="142" spans="1:12" x14ac:dyDescent="0.2">
      <c r="A142" s="43">
        <f>Data!A147</f>
        <v>39620</v>
      </c>
      <c r="B142" s="42">
        <f>IFERROR(AVERAGE(Data!B147), "  ")</f>
        <v>143</v>
      </c>
      <c r="C142" s="42">
        <f>IFERROR(AVERAGE(Data!C147), "  ")</f>
        <v>15</v>
      </c>
      <c r="D142" s="42">
        <f>IFERROR(AVERAGE(Data!D147), "  ")</f>
        <v>52</v>
      </c>
      <c r="E142" s="42">
        <f>IFERROR(AVERAGE(Data!E147), "  ")</f>
        <v>210</v>
      </c>
      <c r="F142" s="42">
        <f>IFERROR(AVERAGE(Data!F147), "  ")</f>
        <v>548</v>
      </c>
      <c r="G142" s="42">
        <f>IFERROR(AVERAGE(Data!G147), "  ")</f>
        <v>338</v>
      </c>
      <c r="H142" s="44">
        <f>IFERROR(AVERAGE(Data!H147), "  ")</f>
        <v>8.9463220675944338E-2</v>
      </c>
      <c r="I142" s="44">
        <f>IFERROR(AVERAGE(Data!I147), "  ")</f>
        <v>-0.34782608695652173</v>
      </c>
      <c r="J142" s="42">
        <f>IFERROR(AVERAGE(Data!J147), "  ")</f>
        <v>-112</v>
      </c>
      <c r="K142" s="44">
        <f>IFERROR(AVERAGE(Data!K147), "  ")</f>
        <v>0.11836734693877551</v>
      </c>
      <c r="L142" s="45" t="str">
        <f>IFERROR(AVERAGE(Data!L147), "  ")</f>
        <v xml:space="preserve">  </v>
      </c>
    </row>
    <row r="143" spans="1:12" x14ac:dyDescent="0.2">
      <c r="A143" s="43">
        <f>Data!A148</f>
        <v>39627</v>
      </c>
      <c r="B143" s="42">
        <f>IFERROR(AVERAGE(Data!B148), "  ")</f>
        <v>70</v>
      </c>
      <c r="C143" s="42">
        <f>IFERROR(AVERAGE(Data!C148), "  ")</f>
        <v>20</v>
      </c>
      <c r="D143" s="42">
        <f>IFERROR(AVERAGE(Data!D148), "  ")</f>
        <v>29</v>
      </c>
      <c r="E143" s="42">
        <f>IFERROR(AVERAGE(Data!E148), "  ")</f>
        <v>119</v>
      </c>
      <c r="F143" s="42">
        <f>IFERROR(AVERAGE(Data!F148), "  ")</f>
        <v>472</v>
      </c>
      <c r="G143" s="42">
        <f>IFERROR(AVERAGE(Data!G148), "  ")</f>
        <v>353</v>
      </c>
      <c r="H143" s="44">
        <f>IFERROR(AVERAGE(Data!H148), "  ")</f>
        <v>-0.13868613138686131</v>
      </c>
      <c r="I143" s="44">
        <f>IFERROR(AVERAGE(Data!I148), "  ")</f>
        <v>-0.43333333333333335</v>
      </c>
      <c r="J143" s="42">
        <f>IFERROR(AVERAGE(Data!J148), "  ")</f>
        <v>-91</v>
      </c>
      <c r="K143" s="44">
        <f>IFERROR(AVERAGE(Data!K148), "  ")</f>
        <v>6.3965884861407248E-3</v>
      </c>
      <c r="L143" s="45" t="str">
        <f>IFERROR(AVERAGE(Data!L148), "  ")</f>
        <v xml:space="preserve">  </v>
      </c>
    </row>
    <row r="144" spans="1:12" x14ac:dyDescent="0.2">
      <c r="A144" s="43">
        <f>Data!A149</f>
        <v>39634</v>
      </c>
      <c r="B144" s="42">
        <f>IFERROR(AVERAGE(Data!B149), "  ")</f>
        <v>70</v>
      </c>
      <c r="C144" s="42">
        <f>IFERROR(AVERAGE(Data!C149), "  ")</f>
        <v>21</v>
      </c>
      <c r="D144" s="42">
        <f>IFERROR(AVERAGE(Data!D149), "  ")</f>
        <v>97</v>
      </c>
      <c r="E144" s="42">
        <f>IFERROR(AVERAGE(Data!E149), "  ")</f>
        <v>188</v>
      </c>
      <c r="F144" s="42">
        <f>IFERROR(AVERAGE(Data!F149), "  ")</f>
        <v>379</v>
      </c>
      <c r="G144" s="42">
        <f>IFERROR(AVERAGE(Data!G149), "  ")</f>
        <v>191</v>
      </c>
      <c r="H144" s="44">
        <f>IFERROR(AVERAGE(Data!H149), "  ")</f>
        <v>-0.19703389830508475</v>
      </c>
      <c r="I144" s="44">
        <f>IFERROR(AVERAGE(Data!I149), "  ")</f>
        <v>0.57983193277310929</v>
      </c>
      <c r="J144" s="42">
        <f>IFERROR(AVERAGE(Data!J149), "  ")</f>
        <v>69</v>
      </c>
      <c r="K144" s="44">
        <f>IFERROR(AVERAGE(Data!K149), "  ")</f>
        <v>7.6704545454545456E-2</v>
      </c>
      <c r="L144" s="45" t="str">
        <f>IFERROR(AVERAGE(Data!L149), "  ")</f>
        <v xml:space="preserve">  </v>
      </c>
    </row>
    <row r="145" spans="1:12" x14ac:dyDescent="0.2">
      <c r="A145" s="43">
        <f>Data!A150</f>
        <v>39641</v>
      </c>
      <c r="B145" s="42">
        <f>IFERROR(AVERAGE(Data!B150), "  ")</f>
        <v>386</v>
      </c>
      <c r="C145" s="42">
        <f>IFERROR(AVERAGE(Data!C150), "  ")</f>
        <v>24</v>
      </c>
      <c r="D145" s="42">
        <f>IFERROR(AVERAGE(Data!D150), "  ")</f>
        <v>53</v>
      </c>
      <c r="E145" s="42">
        <f>IFERROR(AVERAGE(Data!E150), "  ")</f>
        <v>463</v>
      </c>
      <c r="F145" s="42">
        <f>IFERROR(AVERAGE(Data!F150), "  ")</f>
        <v>362</v>
      </c>
      <c r="G145" s="42">
        <f>IFERROR(AVERAGE(Data!G150), "  ")</f>
        <v>-101</v>
      </c>
      <c r="H145" s="44">
        <f>IFERROR(AVERAGE(Data!H150), "  ")</f>
        <v>-4.4854881266490766E-2</v>
      </c>
      <c r="I145" s="44">
        <f>IFERROR(AVERAGE(Data!I150), "  ")</f>
        <v>1.4627659574468086</v>
      </c>
      <c r="J145" s="42">
        <f>IFERROR(AVERAGE(Data!J150), "  ")</f>
        <v>275</v>
      </c>
      <c r="K145" s="44">
        <f>IFERROR(AVERAGE(Data!K150), "  ")</f>
        <v>-0.39966832504145938</v>
      </c>
      <c r="L145" s="45" t="str">
        <f>IFERROR(AVERAGE(Data!L150), "  ")</f>
        <v xml:space="preserve">  </v>
      </c>
    </row>
    <row r="146" spans="1:12" x14ac:dyDescent="0.2">
      <c r="A146" s="43">
        <f>Data!A151</f>
        <v>39648</v>
      </c>
      <c r="B146" s="42">
        <f>IFERROR(AVERAGE(Data!B151), "  ")</f>
        <v>371</v>
      </c>
      <c r="C146" s="42">
        <f>IFERROR(AVERAGE(Data!C151), "  ")</f>
        <v>26</v>
      </c>
      <c r="D146" s="42">
        <f>IFERROR(AVERAGE(Data!D151), "  ")</f>
        <v>41</v>
      </c>
      <c r="E146" s="42">
        <f>IFERROR(AVERAGE(Data!E151), "  ")</f>
        <v>438</v>
      </c>
      <c r="F146" s="42">
        <f>IFERROR(AVERAGE(Data!F151), "  ")</f>
        <v>358</v>
      </c>
      <c r="G146" s="42">
        <f>IFERROR(AVERAGE(Data!G151), "  ")</f>
        <v>-80</v>
      </c>
      <c r="H146" s="44">
        <f>IFERROR(AVERAGE(Data!H151), "  ")</f>
        <v>-1.1049723756906077E-2</v>
      </c>
      <c r="I146" s="44">
        <f>IFERROR(AVERAGE(Data!I151), "  ")</f>
        <v>-5.3995680345572353E-2</v>
      </c>
      <c r="J146" s="42">
        <f>IFERROR(AVERAGE(Data!J151), "  ")</f>
        <v>-25</v>
      </c>
      <c r="K146" s="44">
        <f>IFERROR(AVERAGE(Data!K151), "  ")</f>
        <v>-0.28685258964143429</v>
      </c>
      <c r="L146" s="45" t="str">
        <f>IFERROR(AVERAGE(Data!L151), "  ")</f>
        <v xml:space="preserve">  </v>
      </c>
    </row>
    <row r="147" spans="1:12" x14ac:dyDescent="0.2">
      <c r="A147" s="43">
        <f>Data!A152</f>
        <v>39655</v>
      </c>
      <c r="B147" s="42">
        <f>IFERROR(AVERAGE(Data!B152), "  ")</f>
        <v>453</v>
      </c>
      <c r="C147" s="42">
        <f>IFERROR(AVERAGE(Data!C152), "  ")</f>
        <v>49</v>
      </c>
      <c r="D147" s="42">
        <f>IFERROR(AVERAGE(Data!D152), "  ")</f>
        <v>37</v>
      </c>
      <c r="E147" s="42">
        <f>IFERROR(AVERAGE(Data!E152), "  ")</f>
        <v>539</v>
      </c>
      <c r="F147" s="42">
        <f>IFERROR(AVERAGE(Data!F152), "  ")</f>
        <v>389</v>
      </c>
      <c r="G147" s="42">
        <f>IFERROR(AVERAGE(Data!G152), "  ")</f>
        <v>-150</v>
      </c>
      <c r="H147" s="44">
        <f>IFERROR(AVERAGE(Data!H152), "  ")</f>
        <v>8.6592178770949726E-2</v>
      </c>
      <c r="I147" s="44">
        <f>IFERROR(AVERAGE(Data!I152), "  ")</f>
        <v>0.23059360730593606</v>
      </c>
      <c r="J147" s="42">
        <f>IFERROR(AVERAGE(Data!J152), "  ")</f>
        <v>101</v>
      </c>
      <c r="K147" s="44">
        <f>IFERROR(AVERAGE(Data!K152), "  ")</f>
        <v>-0.26879699248120303</v>
      </c>
      <c r="L147" s="45" t="str">
        <f>IFERROR(AVERAGE(Data!L152), "  ")</f>
        <v xml:space="preserve">  </v>
      </c>
    </row>
    <row r="148" spans="1:12" x14ac:dyDescent="0.2">
      <c r="A148" s="43">
        <f>Data!A153</f>
        <v>39662</v>
      </c>
      <c r="B148" s="42">
        <f>IFERROR(AVERAGE(Data!B153), "  ")</f>
        <v>430</v>
      </c>
      <c r="C148" s="42">
        <f>IFERROR(AVERAGE(Data!C153), "  ")</f>
        <v>36</v>
      </c>
      <c r="D148" s="42">
        <f>IFERROR(AVERAGE(Data!D153), "  ")</f>
        <v>5</v>
      </c>
      <c r="E148" s="42">
        <f>IFERROR(AVERAGE(Data!E153), "  ")</f>
        <v>471</v>
      </c>
      <c r="F148" s="42">
        <f>IFERROR(AVERAGE(Data!F153), "  ")</f>
        <v>457</v>
      </c>
      <c r="G148" s="42">
        <f>IFERROR(AVERAGE(Data!G153), "  ")</f>
        <v>-14</v>
      </c>
      <c r="H148" s="44">
        <f>IFERROR(AVERAGE(Data!H153), "  ")</f>
        <v>0.17480719794344474</v>
      </c>
      <c r="I148" s="44">
        <f>IFERROR(AVERAGE(Data!I153), "  ")</f>
        <v>-0.12615955473098331</v>
      </c>
      <c r="J148" s="42">
        <f>IFERROR(AVERAGE(Data!J153), "  ")</f>
        <v>-68</v>
      </c>
      <c r="K148" s="44">
        <f>IFERROR(AVERAGE(Data!K153), "  ")</f>
        <v>-0.12952380952380951</v>
      </c>
      <c r="L148" s="45" t="str">
        <f>IFERROR(AVERAGE(Data!L153), "  ")</f>
        <v xml:space="preserve">  </v>
      </c>
    </row>
    <row r="149" spans="1:12" x14ac:dyDescent="0.2">
      <c r="A149" s="43">
        <f>Data!A154</f>
        <v>39669</v>
      </c>
      <c r="B149" s="42">
        <f>IFERROR(AVERAGE(Data!B154), "  ")</f>
        <v>319</v>
      </c>
      <c r="C149" s="42">
        <f>IFERROR(AVERAGE(Data!C154), "  ")</f>
        <v>47</v>
      </c>
      <c r="D149" s="42">
        <f>IFERROR(AVERAGE(Data!D154), "  ")</f>
        <v>51</v>
      </c>
      <c r="E149" s="42">
        <f>IFERROR(AVERAGE(Data!E154), "  ")</f>
        <v>417</v>
      </c>
      <c r="F149" s="42">
        <f>IFERROR(AVERAGE(Data!F154), "  ")</f>
        <v>648</v>
      </c>
      <c r="G149" s="42">
        <f>IFERROR(AVERAGE(Data!G154), "  ")</f>
        <v>231</v>
      </c>
      <c r="H149" s="44">
        <f>IFERROR(AVERAGE(Data!H154), "  ")</f>
        <v>0.41794310722100658</v>
      </c>
      <c r="I149" s="44">
        <f>IFERROR(AVERAGE(Data!I154), "  ")</f>
        <v>-0.11464968152866242</v>
      </c>
      <c r="J149" s="42">
        <f>IFERROR(AVERAGE(Data!J154), "  ")</f>
        <v>-54</v>
      </c>
      <c r="K149" s="44">
        <f>IFERROR(AVERAGE(Data!K154), "  ")</f>
        <v>3.8461538461538464E-2</v>
      </c>
      <c r="L149" s="45" t="str">
        <f>IFERROR(AVERAGE(Data!L154), "  ")</f>
        <v xml:space="preserve">  </v>
      </c>
    </row>
    <row r="150" spans="1:12" x14ac:dyDescent="0.2">
      <c r="A150" s="43">
        <f>Data!A155</f>
        <v>39676</v>
      </c>
      <c r="B150" s="42">
        <f>IFERROR(AVERAGE(Data!B155), "  ")</f>
        <v>309</v>
      </c>
      <c r="C150" s="42">
        <f>IFERROR(AVERAGE(Data!C155), "  ")</f>
        <v>17</v>
      </c>
      <c r="D150" s="42">
        <f>IFERROR(AVERAGE(Data!D155), "  ")</f>
        <v>31</v>
      </c>
      <c r="E150" s="42">
        <f>IFERROR(AVERAGE(Data!E155), "  ")</f>
        <v>357</v>
      </c>
      <c r="F150" s="42">
        <f>IFERROR(AVERAGE(Data!F155), "  ")</f>
        <v>568</v>
      </c>
      <c r="G150" s="42">
        <f>IFERROR(AVERAGE(Data!G155), "  ")</f>
        <v>211</v>
      </c>
      <c r="H150" s="44">
        <f>IFERROR(AVERAGE(Data!H155), "  ")</f>
        <v>-0.12345679012345678</v>
      </c>
      <c r="I150" s="44">
        <f>IFERROR(AVERAGE(Data!I155), "  ")</f>
        <v>-0.14388489208633093</v>
      </c>
      <c r="J150" s="42">
        <f>IFERROR(AVERAGE(Data!J155), "  ")</f>
        <v>-60</v>
      </c>
      <c r="K150" s="44">
        <f>IFERROR(AVERAGE(Data!K155), "  ")</f>
        <v>-3.5653650254668934E-2</v>
      </c>
      <c r="L150" s="45" t="str">
        <f>IFERROR(AVERAGE(Data!L155), "  ")</f>
        <v xml:space="preserve">  </v>
      </c>
    </row>
    <row r="151" spans="1:12" x14ac:dyDescent="0.2">
      <c r="A151" s="43">
        <f>Data!A156</f>
        <v>39683</v>
      </c>
      <c r="B151" s="42">
        <f>IFERROR(AVERAGE(Data!B156), "  ")</f>
        <v>359</v>
      </c>
      <c r="C151" s="42">
        <f>IFERROR(AVERAGE(Data!C156), "  ")</f>
        <v>24</v>
      </c>
      <c r="D151" s="42">
        <f>IFERROR(AVERAGE(Data!D156), "  ")</f>
        <v>31</v>
      </c>
      <c r="E151" s="42">
        <f>IFERROR(AVERAGE(Data!E156), "  ")</f>
        <v>414</v>
      </c>
      <c r="F151" s="42">
        <f>IFERROR(AVERAGE(Data!F156), "  ")</f>
        <v>525</v>
      </c>
      <c r="G151" s="42">
        <f>IFERROR(AVERAGE(Data!G156), "  ")</f>
        <v>111</v>
      </c>
      <c r="H151" s="44">
        <f>IFERROR(AVERAGE(Data!H156), "  ")</f>
        <v>-7.5704225352112672E-2</v>
      </c>
      <c r="I151" s="44">
        <f>IFERROR(AVERAGE(Data!I156), "  ")</f>
        <v>0.15966386554621848</v>
      </c>
      <c r="J151" s="42">
        <f>IFERROR(AVERAGE(Data!J156), "  ")</f>
        <v>57</v>
      </c>
      <c r="K151" s="44">
        <f>IFERROR(AVERAGE(Data!K156), "  ")</f>
        <v>-0.12790697674418605</v>
      </c>
      <c r="L151" s="45" t="str">
        <f>IFERROR(AVERAGE(Data!L156), "  ")</f>
        <v xml:space="preserve">  </v>
      </c>
    </row>
    <row r="152" spans="1:12" x14ac:dyDescent="0.2">
      <c r="A152" s="43">
        <f>Data!A157</f>
        <v>39690</v>
      </c>
      <c r="B152" s="42">
        <f>IFERROR(AVERAGE(Data!B157), "  ")</f>
        <v>208</v>
      </c>
      <c r="C152" s="42">
        <f>IFERROR(AVERAGE(Data!C157), "  ")</f>
        <v>44</v>
      </c>
      <c r="D152" s="42">
        <f>IFERROR(AVERAGE(Data!D157), "  ")</f>
        <v>32</v>
      </c>
      <c r="E152" s="42">
        <f>IFERROR(AVERAGE(Data!E157), "  ")</f>
        <v>284</v>
      </c>
      <c r="F152" s="42">
        <f>IFERROR(AVERAGE(Data!F157), "  ")</f>
        <v>355</v>
      </c>
      <c r="G152" s="42">
        <f>IFERROR(AVERAGE(Data!G157), "  ")</f>
        <v>71</v>
      </c>
      <c r="H152" s="44">
        <f>IFERROR(AVERAGE(Data!H157), "  ")</f>
        <v>-0.32380952380952382</v>
      </c>
      <c r="I152" s="44">
        <f>IFERROR(AVERAGE(Data!I157), "  ")</f>
        <v>-0.3140096618357488</v>
      </c>
      <c r="J152" s="42">
        <f>IFERROR(AVERAGE(Data!J157), "  ")</f>
        <v>-130</v>
      </c>
      <c r="K152" s="44">
        <f>IFERROR(AVERAGE(Data!K157), "  ")</f>
        <v>-0.4580152671755725</v>
      </c>
      <c r="L152" s="45" t="str">
        <f>IFERROR(AVERAGE(Data!L157), "  ")</f>
        <v xml:space="preserve">  </v>
      </c>
    </row>
    <row r="153" spans="1:12" x14ac:dyDescent="0.2">
      <c r="A153" s="43">
        <f>Data!A158</f>
        <v>39697</v>
      </c>
      <c r="B153" s="42">
        <f>IFERROR(AVERAGE(Data!B158), "  ")</f>
        <v>349</v>
      </c>
      <c r="C153" s="42">
        <f>IFERROR(AVERAGE(Data!C158), "  ")</f>
        <v>9</v>
      </c>
      <c r="D153" s="42">
        <f>IFERROR(AVERAGE(Data!D158), "  ")</f>
        <v>35</v>
      </c>
      <c r="E153" s="42">
        <f>IFERROR(AVERAGE(Data!E158), "  ")</f>
        <v>393</v>
      </c>
      <c r="F153" s="42">
        <f>IFERROR(AVERAGE(Data!F158), "  ")</f>
        <v>42</v>
      </c>
      <c r="G153" s="42">
        <f>IFERROR(AVERAGE(Data!G158), "  ")</f>
        <v>-351</v>
      </c>
      <c r="H153" s="44">
        <f>IFERROR(AVERAGE(Data!H158), "  ")</f>
        <v>-0.88169014084507047</v>
      </c>
      <c r="I153" s="44">
        <f>IFERROR(AVERAGE(Data!I158), "  ")</f>
        <v>0.38380281690140844</v>
      </c>
      <c r="J153" s="42">
        <f>IFERROR(AVERAGE(Data!J158), "  ")</f>
        <v>109</v>
      </c>
      <c r="K153" s="44">
        <f>IFERROR(AVERAGE(Data!K158), "  ")</f>
        <v>-0.9375</v>
      </c>
      <c r="L153" s="45" t="str">
        <f>IFERROR(AVERAGE(Data!L158), "  ")</f>
        <v xml:space="preserve">  </v>
      </c>
    </row>
    <row r="154" spans="1:12" x14ac:dyDescent="0.2">
      <c r="A154" s="43">
        <f>Data!A159</f>
        <v>39704</v>
      </c>
      <c r="B154" s="42">
        <f>IFERROR(AVERAGE(Data!B159), "  ")</f>
        <v>277</v>
      </c>
      <c r="C154" s="42">
        <f>IFERROR(AVERAGE(Data!C159), "  ")</f>
        <v>14</v>
      </c>
      <c r="D154" s="42">
        <f>IFERROR(AVERAGE(Data!D159), "  ")</f>
        <v>44</v>
      </c>
      <c r="E154" s="42">
        <f>IFERROR(AVERAGE(Data!E159), "  ")</f>
        <v>335</v>
      </c>
      <c r="F154" s="42">
        <f>IFERROR(AVERAGE(Data!F159), "  ")</f>
        <v>479</v>
      </c>
      <c r="G154" s="42">
        <f>IFERROR(AVERAGE(Data!G159), "  ")</f>
        <v>144</v>
      </c>
      <c r="H154" s="44">
        <f>IFERROR(AVERAGE(Data!H159), "  ")</f>
        <v>10.404761904761905</v>
      </c>
      <c r="I154" s="44">
        <f>IFERROR(AVERAGE(Data!I159), "  ")</f>
        <v>-0.1475826972010178</v>
      </c>
      <c r="J154" s="42">
        <f>IFERROR(AVERAGE(Data!J159), "  ")</f>
        <v>-58</v>
      </c>
      <c r="K154" s="44">
        <f>IFERROR(AVERAGE(Data!K159), "  ")</f>
        <v>-0.32724719101123595</v>
      </c>
      <c r="L154" s="45" t="str">
        <f>IFERROR(AVERAGE(Data!L159), "  ")</f>
        <v xml:space="preserve">  </v>
      </c>
    </row>
    <row r="155" spans="1:12" x14ac:dyDescent="0.2">
      <c r="A155" s="43">
        <f>Data!A160</f>
        <v>39711</v>
      </c>
      <c r="B155" s="42">
        <f>IFERROR(AVERAGE(Data!B160), "  ")</f>
        <v>202</v>
      </c>
      <c r="C155" s="42">
        <f>IFERROR(AVERAGE(Data!C160), "  ")</f>
        <v>18</v>
      </c>
      <c r="D155" s="42">
        <f>IFERROR(AVERAGE(Data!D160), "  ")</f>
        <v>56</v>
      </c>
      <c r="E155" s="42">
        <f>IFERROR(AVERAGE(Data!E160), "  ")</f>
        <v>276</v>
      </c>
      <c r="F155" s="42">
        <f>IFERROR(AVERAGE(Data!F160), "  ")</f>
        <v>596</v>
      </c>
      <c r="G155" s="42">
        <f>IFERROR(AVERAGE(Data!G160), "  ")</f>
        <v>320</v>
      </c>
      <c r="H155" s="44">
        <f>IFERROR(AVERAGE(Data!H160), "  ")</f>
        <v>0.24425887265135698</v>
      </c>
      <c r="I155" s="44">
        <f>IFERROR(AVERAGE(Data!I160), "  ")</f>
        <v>-0.17611940298507461</v>
      </c>
      <c r="J155" s="42">
        <f>IFERROR(AVERAGE(Data!J160), "  ")</f>
        <v>-59</v>
      </c>
      <c r="K155" s="44">
        <f>IFERROR(AVERAGE(Data!K160), "  ")</f>
        <v>-0.17222222222222222</v>
      </c>
      <c r="L155" s="45" t="str">
        <f>IFERROR(AVERAGE(Data!L160), "  ")</f>
        <v xml:space="preserve">  </v>
      </c>
    </row>
    <row r="156" spans="1:12" x14ac:dyDescent="0.2">
      <c r="A156" s="43">
        <f>Data!A161</f>
        <v>39718</v>
      </c>
      <c r="B156" s="42">
        <f>IFERROR(AVERAGE(Data!B161), "  ")</f>
        <v>113</v>
      </c>
      <c r="C156" s="42">
        <f>IFERROR(AVERAGE(Data!C161), "  ")</f>
        <v>28</v>
      </c>
      <c r="D156" s="42">
        <f>IFERROR(AVERAGE(Data!D161), "  ")</f>
        <v>60</v>
      </c>
      <c r="E156" s="42">
        <f>IFERROR(AVERAGE(Data!E161), "  ")</f>
        <v>201</v>
      </c>
      <c r="F156" s="42">
        <f>IFERROR(AVERAGE(Data!F161), "  ")</f>
        <v>573</v>
      </c>
      <c r="G156" s="42">
        <f>IFERROR(AVERAGE(Data!G161), "  ")</f>
        <v>372</v>
      </c>
      <c r="H156" s="44">
        <f>IFERROR(AVERAGE(Data!H161), "  ")</f>
        <v>-3.8590604026845637E-2</v>
      </c>
      <c r="I156" s="44">
        <f>IFERROR(AVERAGE(Data!I161), "  ")</f>
        <v>-0.27173913043478259</v>
      </c>
      <c r="J156" s="42">
        <f>IFERROR(AVERAGE(Data!J161), "  ")</f>
        <v>-75</v>
      </c>
      <c r="K156" s="44">
        <f>IFERROR(AVERAGE(Data!K161), "  ")</f>
        <v>-0.11846153846153847</v>
      </c>
      <c r="L156" s="45" t="str">
        <f>IFERROR(AVERAGE(Data!L161), "  ")</f>
        <v xml:space="preserve">  </v>
      </c>
    </row>
    <row r="157" spans="1:12" x14ac:dyDescent="0.2">
      <c r="A157" s="43">
        <f>Data!A162</f>
        <v>39725</v>
      </c>
      <c r="B157" s="42">
        <f>IFERROR(AVERAGE(Data!B162), "  ")</f>
        <v>186</v>
      </c>
      <c r="C157" s="42">
        <f>IFERROR(AVERAGE(Data!C162), "  ")</f>
        <v>46</v>
      </c>
      <c r="D157" s="42">
        <f>IFERROR(AVERAGE(Data!D162), "  ")</f>
        <v>96</v>
      </c>
      <c r="E157" s="42">
        <f>IFERROR(AVERAGE(Data!E162), "  ")</f>
        <v>328</v>
      </c>
      <c r="F157" s="42">
        <f>IFERROR(AVERAGE(Data!F162), "  ")</f>
        <v>529</v>
      </c>
      <c r="G157" s="42">
        <f>IFERROR(AVERAGE(Data!G162), "  ")</f>
        <v>201</v>
      </c>
      <c r="H157" s="44">
        <f>IFERROR(AVERAGE(Data!H162), "  ")</f>
        <v>-7.6788830715532289E-2</v>
      </c>
      <c r="I157" s="44">
        <f>IFERROR(AVERAGE(Data!I162), "  ")</f>
        <v>0.63184079601990051</v>
      </c>
      <c r="J157" s="42">
        <f>IFERROR(AVERAGE(Data!J162), "  ")</f>
        <v>127</v>
      </c>
      <c r="K157" s="44">
        <f>IFERROR(AVERAGE(Data!K162), "  ")</f>
        <v>-0.19726858877086495</v>
      </c>
      <c r="L157" s="45" t="str">
        <f>IFERROR(AVERAGE(Data!L162), "  ")</f>
        <v xml:space="preserve">  </v>
      </c>
    </row>
    <row r="158" spans="1:12" x14ac:dyDescent="0.2">
      <c r="A158" s="43">
        <f>Data!A163</f>
        <v>39732</v>
      </c>
      <c r="B158" s="42">
        <f>IFERROR(AVERAGE(Data!B163), "  ")</f>
        <v>121</v>
      </c>
      <c r="C158" s="42">
        <f>IFERROR(AVERAGE(Data!C163), "  ")</f>
        <v>15</v>
      </c>
      <c r="D158" s="42">
        <f>IFERROR(AVERAGE(Data!D163), "  ")</f>
        <v>103</v>
      </c>
      <c r="E158" s="42">
        <f>IFERROR(AVERAGE(Data!E163), "  ")</f>
        <v>239</v>
      </c>
      <c r="F158" s="42">
        <f>IFERROR(AVERAGE(Data!F163), "  ")</f>
        <v>551</v>
      </c>
      <c r="G158" s="42">
        <f>IFERROR(AVERAGE(Data!G163), "  ")</f>
        <v>312</v>
      </c>
      <c r="H158" s="44">
        <f>IFERROR(AVERAGE(Data!H163), "  ")</f>
        <v>4.1587901701323253E-2</v>
      </c>
      <c r="I158" s="44">
        <f>IFERROR(AVERAGE(Data!I163), "  ")</f>
        <v>-0.27134146341463417</v>
      </c>
      <c r="J158" s="42">
        <f>IFERROR(AVERAGE(Data!J163), "  ")</f>
        <v>-89</v>
      </c>
      <c r="K158" s="44">
        <f>IFERROR(AVERAGE(Data!K163), "  ")</f>
        <v>-0.21621621621621623</v>
      </c>
      <c r="L158" s="45" t="str">
        <f>IFERROR(AVERAGE(Data!L163), "  ")</f>
        <v xml:space="preserve">  </v>
      </c>
    </row>
    <row r="159" spans="1:12" x14ac:dyDescent="0.2">
      <c r="A159" s="43">
        <f>Data!A164</f>
        <v>39739</v>
      </c>
      <c r="B159" s="42">
        <f>IFERROR(AVERAGE(Data!B164), "  ")</f>
        <v>196</v>
      </c>
      <c r="C159" s="42">
        <f>IFERROR(AVERAGE(Data!C164), "  ")</f>
        <v>34</v>
      </c>
      <c r="D159" s="42">
        <f>IFERROR(AVERAGE(Data!D164), "  ")</f>
        <v>81</v>
      </c>
      <c r="E159" s="42">
        <f>IFERROR(AVERAGE(Data!E164), "  ")</f>
        <v>311</v>
      </c>
      <c r="F159" s="42">
        <f>IFERROR(AVERAGE(Data!F164), "  ")</f>
        <v>577</v>
      </c>
      <c r="G159" s="42">
        <f>IFERROR(AVERAGE(Data!G164), "  ")</f>
        <v>266</v>
      </c>
      <c r="H159" s="44">
        <f>IFERROR(AVERAGE(Data!H164), "  ")</f>
        <v>4.7186932849364795E-2</v>
      </c>
      <c r="I159" s="44">
        <f>IFERROR(AVERAGE(Data!I164), "  ")</f>
        <v>0.30125523012552302</v>
      </c>
      <c r="J159" s="42">
        <f>IFERROR(AVERAGE(Data!J164), "  ")</f>
        <v>72</v>
      </c>
      <c r="K159" s="44">
        <f>IFERROR(AVERAGE(Data!K164), "  ")</f>
        <v>-9.8437499999999997E-2</v>
      </c>
      <c r="L159" s="45" t="str">
        <f>IFERROR(AVERAGE(Data!L164), "  ")</f>
        <v xml:space="preserve">  </v>
      </c>
    </row>
    <row r="160" spans="1:12" x14ac:dyDescent="0.2">
      <c r="A160" s="43">
        <f>Data!A165</f>
        <v>39746</v>
      </c>
      <c r="B160" s="42">
        <f>IFERROR(AVERAGE(Data!B165), "  ")</f>
        <v>248</v>
      </c>
      <c r="C160" s="42">
        <f>IFERROR(AVERAGE(Data!C165), "  ")</f>
        <v>23</v>
      </c>
      <c r="D160" s="42">
        <f>IFERROR(AVERAGE(Data!D165), "  ")</f>
        <v>98</v>
      </c>
      <c r="E160" s="42">
        <f>IFERROR(AVERAGE(Data!E165), "  ")</f>
        <v>369</v>
      </c>
      <c r="F160" s="42">
        <f>IFERROR(AVERAGE(Data!F165), "  ")</f>
        <v>544</v>
      </c>
      <c r="G160" s="42">
        <f>IFERROR(AVERAGE(Data!G165), "  ")</f>
        <v>175</v>
      </c>
      <c r="H160" s="44">
        <f>IFERROR(AVERAGE(Data!H165), "  ")</f>
        <v>-5.7192374350086658E-2</v>
      </c>
      <c r="I160" s="44">
        <f>IFERROR(AVERAGE(Data!I165), "  ")</f>
        <v>0.18649517684887459</v>
      </c>
      <c r="J160" s="42">
        <f>IFERROR(AVERAGE(Data!J165), "  ")</f>
        <v>58</v>
      </c>
      <c r="K160" s="44">
        <f>IFERROR(AVERAGE(Data!K165), "  ")</f>
        <v>-9.4841930116472545E-2</v>
      </c>
      <c r="L160" s="45" t="str">
        <f>IFERROR(AVERAGE(Data!L165), "  ")</f>
        <v xml:space="preserve">  </v>
      </c>
    </row>
    <row r="161" spans="1:12" x14ac:dyDescent="0.2">
      <c r="A161" s="43">
        <f>Data!A166</f>
        <v>39753</v>
      </c>
      <c r="B161" s="42">
        <f>IFERROR(AVERAGE(Data!B166), "  ")</f>
        <v>230</v>
      </c>
      <c r="C161" s="42">
        <f>IFERROR(AVERAGE(Data!C166), "  ")</f>
        <v>30</v>
      </c>
      <c r="D161" s="42">
        <f>IFERROR(AVERAGE(Data!D166), "  ")</f>
        <v>67</v>
      </c>
      <c r="E161" s="42">
        <f>IFERROR(AVERAGE(Data!E166), "  ")</f>
        <v>327</v>
      </c>
      <c r="F161" s="42">
        <f>IFERROR(AVERAGE(Data!F166), "  ")</f>
        <v>521</v>
      </c>
      <c r="G161" s="42">
        <f>IFERROR(AVERAGE(Data!G166), "  ")</f>
        <v>194</v>
      </c>
      <c r="H161" s="44">
        <f>IFERROR(AVERAGE(Data!H166), "  ")</f>
        <v>-4.2279411764705885E-2</v>
      </c>
      <c r="I161" s="44">
        <f>IFERROR(AVERAGE(Data!I166), "  ")</f>
        <v>-0.11382113821138211</v>
      </c>
      <c r="J161" s="42">
        <f>IFERROR(AVERAGE(Data!J166), "  ")</f>
        <v>-42</v>
      </c>
      <c r="K161" s="44">
        <f>IFERROR(AVERAGE(Data!K166), "  ")</f>
        <v>-0.32774193548387098</v>
      </c>
      <c r="L161" s="45" t="str">
        <f>IFERROR(AVERAGE(Data!L166), "  ")</f>
        <v xml:space="preserve">  </v>
      </c>
    </row>
    <row r="162" spans="1:12" x14ac:dyDescent="0.2">
      <c r="A162" s="43">
        <f>Data!A167</f>
        <v>39760</v>
      </c>
      <c r="B162" s="42">
        <f>IFERROR(AVERAGE(Data!B167), "  ")</f>
        <v>342</v>
      </c>
      <c r="C162" s="42">
        <f>IFERROR(AVERAGE(Data!C167), "  ")</f>
        <v>35</v>
      </c>
      <c r="D162" s="42">
        <f>IFERROR(AVERAGE(Data!D167), "  ")</f>
        <v>91</v>
      </c>
      <c r="E162" s="42">
        <f>IFERROR(AVERAGE(Data!E167), "  ")</f>
        <v>468</v>
      </c>
      <c r="F162" s="42">
        <f>IFERROR(AVERAGE(Data!F167), "  ")</f>
        <v>583</v>
      </c>
      <c r="G162" s="42">
        <f>IFERROR(AVERAGE(Data!G167), "  ")</f>
        <v>115</v>
      </c>
      <c r="H162" s="44">
        <f>IFERROR(AVERAGE(Data!H167), "  ")</f>
        <v>0.11900191938579655</v>
      </c>
      <c r="I162" s="44">
        <f>IFERROR(AVERAGE(Data!I167), "  ")</f>
        <v>0.43119266055045874</v>
      </c>
      <c r="J162" s="42">
        <f>IFERROR(AVERAGE(Data!J167), "  ")</f>
        <v>141</v>
      </c>
      <c r="K162" s="44">
        <f>IFERROR(AVERAGE(Data!K167), "  ")</f>
        <v>-0.26202531645569621</v>
      </c>
      <c r="L162" s="45" t="str">
        <f>IFERROR(AVERAGE(Data!L167), "  ")</f>
        <v xml:space="preserve">  </v>
      </c>
    </row>
    <row r="163" spans="1:12" x14ac:dyDescent="0.2">
      <c r="A163" s="43">
        <f>Data!A168</f>
        <v>39767</v>
      </c>
      <c r="B163" s="42">
        <f>IFERROR(AVERAGE(Data!B168), "  ")</f>
        <v>295</v>
      </c>
      <c r="C163" s="42">
        <f>IFERROR(AVERAGE(Data!C168), "  ")</f>
        <v>41</v>
      </c>
      <c r="D163" s="42">
        <f>IFERROR(AVERAGE(Data!D168), "  ")</f>
        <v>35</v>
      </c>
      <c r="E163" s="42">
        <f>IFERROR(AVERAGE(Data!E168), "  ")</f>
        <v>371</v>
      </c>
      <c r="F163" s="42">
        <f>IFERROR(AVERAGE(Data!F168), "  ")</f>
        <v>688</v>
      </c>
      <c r="G163" s="42">
        <f>IFERROR(AVERAGE(Data!G168), "  ")</f>
        <v>317</v>
      </c>
      <c r="H163" s="44">
        <f>IFERROR(AVERAGE(Data!H168), "  ")</f>
        <v>0.18010291595197256</v>
      </c>
      <c r="I163" s="44">
        <f>IFERROR(AVERAGE(Data!I168), "  ")</f>
        <v>-0.20726495726495728</v>
      </c>
      <c r="J163" s="42">
        <f>IFERROR(AVERAGE(Data!J168), "  ")</f>
        <v>-97</v>
      </c>
      <c r="K163" s="44">
        <f>IFERROR(AVERAGE(Data!K168), "  ")</f>
        <v>-0.10765239948119326</v>
      </c>
      <c r="L163" s="45" t="str">
        <f>IFERROR(AVERAGE(Data!L168), "  ")</f>
        <v xml:space="preserve">  </v>
      </c>
    </row>
    <row r="164" spans="1:12" x14ac:dyDescent="0.2">
      <c r="A164" s="43">
        <f>Data!A169</f>
        <v>39774</v>
      </c>
      <c r="B164" s="42">
        <f>IFERROR(AVERAGE(Data!B169), "  ")</f>
        <v>330</v>
      </c>
      <c r="C164" s="42">
        <f>IFERROR(AVERAGE(Data!C169), "  ")</f>
        <v>11</v>
      </c>
      <c r="D164" s="42">
        <f>IFERROR(AVERAGE(Data!D169), "  ")</f>
        <v>69</v>
      </c>
      <c r="E164" s="42">
        <f>IFERROR(AVERAGE(Data!E169), "  ")</f>
        <v>410</v>
      </c>
      <c r="F164" s="42">
        <f>IFERROR(AVERAGE(Data!F169), "  ")</f>
        <v>551</v>
      </c>
      <c r="G164" s="42">
        <f>IFERROR(AVERAGE(Data!G169), "  ")</f>
        <v>141</v>
      </c>
      <c r="H164" s="44">
        <f>IFERROR(AVERAGE(Data!H169), "  ")</f>
        <v>-0.19912790697674418</v>
      </c>
      <c r="I164" s="44">
        <f>IFERROR(AVERAGE(Data!I169), "  ")</f>
        <v>0.10512129380053908</v>
      </c>
      <c r="J164" s="42">
        <f>IFERROR(AVERAGE(Data!J169), "  ")</f>
        <v>39</v>
      </c>
      <c r="K164" s="44">
        <f>IFERROR(AVERAGE(Data!K169), "  ")</f>
        <v>-0.30604534005037781</v>
      </c>
      <c r="L164" s="45" t="str">
        <f>IFERROR(AVERAGE(Data!L169), "  ")</f>
        <v xml:space="preserve">  </v>
      </c>
    </row>
    <row r="165" spans="1:12" x14ac:dyDescent="0.2">
      <c r="A165" s="43">
        <f>Data!A170</f>
        <v>39781</v>
      </c>
      <c r="B165" s="42">
        <f>IFERROR(AVERAGE(Data!B170), "  ")</f>
        <v>406</v>
      </c>
      <c r="C165" s="42">
        <f>IFERROR(AVERAGE(Data!C170), "  ")</f>
        <v>11</v>
      </c>
      <c r="D165" s="42">
        <f>IFERROR(AVERAGE(Data!D170), "  ")</f>
        <v>51</v>
      </c>
      <c r="E165" s="42">
        <f>IFERROR(AVERAGE(Data!E170), "  ")</f>
        <v>468</v>
      </c>
      <c r="F165" s="42">
        <f>IFERROR(AVERAGE(Data!F170), "  ")</f>
        <v>648</v>
      </c>
      <c r="G165" s="42">
        <f>IFERROR(AVERAGE(Data!G170), "  ")</f>
        <v>180</v>
      </c>
      <c r="H165" s="44">
        <f>IFERROR(AVERAGE(Data!H170), "  ")</f>
        <v>0.17604355716878403</v>
      </c>
      <c r="I165" s="44">
        <f>IFERROR(AVERAGE(Data!I170), "  ")</f>
        <v>0.14146341463414633</v>
      </c>
      <c r="J165" s="42">
        <f>IFERROR(AVERAGE(Data!J170), "  ")</f>
        <v>58</v>
      </c>
      <c r="K165" s="44">
        <f>IFERROR(AVERAGE(Data!K170), "  ")</f>
        <v>-0.11836734693877551</v>
      </c>
      <c r="L165" s="45" t="str">
        <f>IFERROR(AVERAGE(Data!L170), "  ")</f>
        <v xml:space="preserve">  </v>
      </c>
    </row>
    <row r="166" spans="1:12" x14ac:dyDescent="0.2">
      <c r="A166" s="43">
        <f>Data!A171</f>
        <v>39788</v>
      </c>
      <c r="B166" s="42">
        <f>IFERROR(AVERAGE(Data!B171), "  ")</f>
        <v>385</v>
      </c>
      <c r="C166" s="42">
        <f>IFERROR(AVERAGE(Data!C171), "  ")</f>
        <v>30</v>
      </c>
      <c r="D166" s="42">
        <f>IFERROR(AVERAGE(Data!D171), "  ")</f>
        <v>60</v>
      </c>
      <c r="E166" s="42">
        <f>IFERROR(AVERAGE(Data!E171), "  ")</f>
        <v>475</v>
      </c>
      <c r="F166" s="42">
        <f>IFERROR(AVERAGE(Data!F171), "  ")</f>
        <v>712</v>
      </c>
      <c r="G166" s="42">
        <f>IFERROR(AVERAGE(Data!G171), "  ")</f>
        <v>237</v>
      </c>
      <c r="H166" s="44">
        <f>IFERROR(AVERAGE(Data!H171), "  ")</f>
        <v>9.8765432098765427E-2</v>
      </c>
      <c r="I166" s="44">
        <f>IFERROR(AVERAGE(Data!I171), "  ")</f>
        <v>1.4957264957264958E-2</v>
      </c>
      <c r="J166" s="42">
        <f>IFERROR(AVERAGE(Data!J171), "  ")</f>
        <v>7</v>
      </c>
      <c r="K166" s="44">
        <f>IFERROR(AVERAGE(Data!K171), "  ")</f>
        <v>-8.4832904884318772E-2</v>
      </c>
      <c r="L166" s="45" t="str">
        <f>IFERROR(AVERAGE(Data!L171), "  ")</f>
        <v xml:space="preserve">  </v>
      </c>
    </row>
    <row r="167" spans="1:12" x14ac:dyDescent="0.2">
      <c r="A167" s="43">
        <f>Data!A172</f>
        <v>39795</v>
      </c>
      <c r="B167" s="42">
        <f>IFERROR(AVERAGE(Data!B172), "  ")</f>
        <v>309</v>
      </c>
      <c r="C167" s="42">
        <f>IFERROR(AVERAGE(Data!C172), "  ")</f>
        <v>30</v>
      </c>
      <c r="D167" s="42">
        <f>IFERROR(AVERAGE(Data!D172), "  ")</f>
        <v>64</v>
      </c>
      <c r="E167" s="42">
        <f>IFERROR(AVERAGE(Data!E172), "  ")</f>
        <v>403</v>
      </c>
      <c r="F167" s="42">
        <f>IFERROR(AVERAGE(Data!F172), "  ")</f>
        <v>653</v>
      </c>
      <c r="G167" s="42">
        <f>IFERROR(AVERAGE(Data!G172), "  ")</f>
        <v>250</v>
      </c>
      <c r="H167" s="44">
        <f>IFERROR(AVERAGE(Data!H172), "  ")</f>
        <v>-8.2865168539325837E-2</v>
      </c>
      <c r="I167" s="44">
        <f>IFERROR(AVERAGE(Data!I172), "  ")</f>
        <v>-0.15157894736842106</v>
      </c>
      <c r="J167" s="42">
        <f>IFERROR(AVERAGE(Data!J172), "  ")</f>
        <v>-72</v>
      </c>
      <c r="K167" s="44">
        <f>IFERROR(AVERAGE(Data!K172), "  ")</f>
        <v>-9.0529247910863503E-2</v>
      </c>
      <c r="L167" s="45" t="str">
        <f>IFERROR(AVERAGE(Data!L172), "  ")</f>
        <v xml:space="preserve">  </v>
      </c>
    </row>
    <row r="168" spans="1:12" x14ac:dyDescent="0.2">
      <c r="A168" s="43">
        <f>Data!A173</f>
        <v>39802</v>
      </c>
      <c r="B168" s="42">
        <f>IFERROR(AVERAGE(Data!B173), "  ")</f>
        <v>224</v>
      </c>
      <c r="C168" s="42">
        <f>IFERROR(AVERAGE(Data!C173), "  ")</f>
        <v>19</v>
      </c>
      <c r="D168" s="42">
        <f>IFERROR(AVERAGE(Data!D173), "  ")</f>
        <v>132</v>
      </c>
      <c r="E168" s="42">
        <f>IFERROR(AVERAGE(Data!E173), "  ")</f>
        <v>375</v>
      </c>
      <c r="F168" s="42">
        <f>IFERROR(AVERAGE(Data!F173), "  ")</f>
        <v>605</v>
      </c>
      <c r="G168" s="42">
        <f>IFERROR(AVERAGE(Data!G173), "  ")</f>
        <v>230</v>
      </c>
      <c r="H168" s="44">
        <f>IFERROR(AVERAGE(Data!H173), "  ")</f>
        <v>-7.3506891271056668E-2</v>
      </c>
      <c r="I168" s="44">
        <f>IFERROR(AVERAGE(Data!I173), "  ")</f>
        <v>-6.9478908188585611E-2</v>
      </c>
      <c r="J168" s="42">
        <f>IFERROR(AVERAGE(Data!J173), "  ")</f>
        <v>-28</v>
      </c>
      <c r="K168" s="44">
        <f>IFERROR(AVERAGE(Data!K173), "  ")</f>
        <v>-0.16088765603328711</v>
      </c>
      <c r="L168" s="45" t="str">
        <f>IFERROR(AVERAGE(Data!L173), "  ")</f>
        <v xml:space="preserve">  </v>
      </c>
    </row>
    <row r="169" spans="1:12" x14ac:dyDescent="0.2">
      <c r="A169" s="43">
        <f>Data!A174</f>
        <v>39809</v>
      </c>
      <c r="B169" s="42">
        <f>IFERROR(AVERAGE(Data!B174), "  ")</f>
        <v>123</v>
      </c>
      <c r="C169" s="42">
        <f>IFERROR(AVERAGE(Data!C174), "  ")</f>
        <v>38</v>
      </c>
      <c r="D169" s="42">
        <f>IFERROR(AVERAGE(Data!D174), "  ")</f>
        <v>75</v>
      </c>
      <c r="E169" s="42">
        <f>IFERROR(AVERAGE(Data!E174), "  ")</f>
        <v>236</v>
      </c>
      <c r="F169" s="42">
        <f>IFERROR(AVERAGE(Data!F174), "  ")</f>
        <v>610</v>
      </c>
      <c r="G169" s="42">
        <f>IFERROR(AVERAGE(Data!G174), "  ")</f>
        <v>374</v>
      </c>
      <c r="H169" s="44">
        <f>IFERROR(AVERAGE(Data!H174), "  ")</f>
        <v>8.2644628099173556E-3</v>
      </c>
      <c r="I169" s="44">
        <f>IFERROR(AVERAGE(Data!I174), "  ")</f>
        <v>-0.37066666666666664</v>
      </c>
      <c r="J169" s="42">
        <f>IFERROR(AVERAGE(Data!J174), "  ")</f>
        <v>-139</v>
      </c>
      <c r="K169" s="44">
        <f>IFERROR(AVERAGE(Data!K174), "  ")</f>
        <v>-3.4810126582278479E-2</v>
      </c>
      <c r="L169" s="45" t="str">
        <f>IFERROR(AVERAGE(Data!L174), "  ")</f>
        <v xml:space="preserve">  </v>
      </c>
    </row>
    <row r="170" spans="1:12" x14ac:dyDescent="0.2">
      <c r="A170" s="43">
        <f>Data!A175</f>
        <v>39816</v>
      </c>
      <c r="B170" s="42">
        <f>IFERROR(AVERAGE(Data!B175), "  ")</f>
        <v>166</v>
      </c>
      <c r="C170" s="42">
        <f>IFERROR(AVERAGE(Data!C175), "  ")</f>
        <v>36</v>
      </c>
      <c r="D170" s="42">
        <f>IFERROR(AVERAGE(Data!D175), "  ")</f>
        <v>105</v>
      </c>
      <c r="E170" s="42">
        <f>IFERROR(AVERAGE(Data!E175), "  ")</f>
        <v>307</v>
      </c>
      <c r="F170" s="42">
        <f>IFERROR(AVERAGE(Data!F175), "  ")</f>
        <v>564</v>
      </c>
      <c r="G170" s="42">
        <f>IFERROR(AVERAGE(Data!G175), "  ")</f>
        <v>257</v>
      </c>
      <c r="H170" s="44">
        <f>IFERROR(AVERAGE(Data!H175), "  ")</f>
        <v>-7.5409836065573776E-2</v>
      </c>
      <c r="I170" s="44">
        <f>IFERROR(AVERAGE(Data!I175), "  ")</f>
        <v>0.30084745762711862</v>
      </c>
      <c r="J170" s="42">
        <f>IFERROR(AVERAGE(Data!J175), "  ")</f>
        <v>71</v>
      </c>
      <c r="K170" s="44">
        <f>IFERROR(AVERAGE(Data!K175), "  ")</f>
        <v>-0.12962962962962962</v>
      </c>
      <c r="L170" s="45">
        <f>IFERROR(AVERAGE(Data!L175), "  ")</f>
        <v>622.66666666666663</v>
      </c>
    </row>
    <row r="171" spans="1:12" x14ac:dyDescent="0.2">
      <c r="A171" s="43">
        <f>Data!A176</f>
        <v>39823</v>
      </c>
      <c r="B171" s="42">
        <f>IFERROR(AVERAGE(Data!B176), "  ")</f>
        <v>83</v>
      </c>
      <c r="C171" s="42">
        <f>IFERROR(AVERAGE(Data!C176), "  ")</f>
        <v>12</v>
      </c>
      <c r="D171" s="42">
        <f>IFERROR(AVERAGE(Data!D176), "  ")</f>
        <v>105</v>
      </c>
      <c r="E171" s="42">
        <f>IFERROR(AVERAGE(Data!E176), "  ")</f>
        <v>200</v>
      </c>
      <c r="F171" s="42">
        <f>IFERROR(AVERAGE(Data!F176), "  ")</f>
        <v>568</v>
      </c>
      <c r="G171" s="42">
        <f>IFERROR(AVERAGE(Data!G176), "  ")</f>
        <v>368</v>
      </c>
      <c r="H171" s="44">
        <f>IFERROR(AVERAGE(Data!H176), "  ")</f>
        <v>7.0921985815602835E-3</v>
      </c>
      <c r="I171" s="44">
        <f>IFERROR(AVERAGE(Data!I176), "  ")</f>
        <v>-0.34853420195439738</v>
      </c>
      <c r="J171" s="42">
        <f>IFERROR(AVERAGE(Data!J176), "  ")</f>
        <v>-107</v>
      </c>
      <c r="K171" s="44">
        <f>IFERROR(AVERAGE(Data!K176), "  ")</f>
        <v>-0.24266666666666667</v>
      </c>
      <c r="L171" s="45">
        <f>IFERROR(AVERAGE(Data!L176), "  ")</f>
        <v>747.33333333333337</v>
      </c>
    </row>
    <row r="172" spans="1:12" x14ac:dyDescent="0.2">
      <c r="A172" s="43">
        <f>Data!A177</f>
        <v>39830</v>
      </c>
      <c r="B172" s="42">
        <f>IFERROR(AVERAGE(Data!B177), "  ")</f>
        <v>223</v>
      </c>
      <c r="C172" s="42">
        <f>IFERROR(AVERAGE(Data!C177), "  ")</f>
        <v>29</v>
      </c>
      <c r="D172" s="42">
        <f>IFERROR(AVERAGE(Data!D177), "  ")</f>
        <v>157</v>
      </c>
      <c r="E172" s="42">
        <f>IFERROR(AVERAGE(Data!E177), "  ")</f>
        <v>409</v>
      </c>
      <c r="F172" s="42">
        <f>IFERROR(AVERAGE(Data!F177), "  ")</f>
        <v>678</v>
      </c>
      <c r="G172" s="42">
        <f>IFERROR(AVERAGE(Data!G177), "  ")</f>
        <v>269</v>
      </c>
      <c r="H172" s="44">
        <f>IFERROR(AVERAGE(Data!H177), "  ")</f>
        <v>0.19366197183098591</v>
      </c>
      <c r="I172" s="44">
        <f>IFERROR(AVERAGE(Data!I177), "  ")</f>
        <v>1.0449999999999999</v>
      </c>
      <c r="J172" s="42">
        <f>IFERROR(AVERAGE(Data!J177), "  ")</f>
        <v>209</v>
      </c>
      <c r="K172" s="44">
        <f>IFERROR(AVERAGE(Data!K177), "  ")</f>
        <v>-1.0218978102189781E-2</v>
      </c>
      <c r="L172" s="45">
        <f>IFERROR(AVERAGE(Data!L177), "  ")</f>
        <v>648</v>
      </c>
    </row>
    <row r="173" spans="1:12" x14ac:dyDescent="0.2">
      <c r="A173" s="43">
        <f>Data!A178</f>
        <v>39837</v>
      </c>
      <c r="B173" s="42">
        <f>IFERROR(AVERAGE(Data!B178), "  ")</f>
        <v>218</v>
      </c>
      <c r="C173" s="42">
        <f>IFERROR(AVERAGE(Data!C178), "  ")</f>
        <v>47</v>
      </c>
      <c r="D173" s="42">
        <f>IFERROR(AVERAGE(Data!D178), "  ")</f>
        <v>181</v>
      </c>
      <c r="E173" s="42">
        <f>IFERROR(AVERAGE(Data!E178), "  ")</f>
        <v>446</v>
      </c>
      <c r="F173" s="42">
        <f>IFERROR(AVERAGE(Data!F178), "  ")</f>
        <v>694</v>
      </c>
      <c r="G173" s="42">
        <f>IFERROR(AVERAGE(Data!G178), "  ")</f>
        <v>248</v>
      </c>
      <c r="H173" s="44">
        <f>IFERROR(AVERAGE(Data!H178), "  ")</f>
        <v>2.359882005899705E-2</v>
      </c>
      <c r="I173" s="44">
        <f>IFERROR(AVERAGE(Data!I178), "  ")</f>
        <v>9.0464547677261614E-2</v>
      </c>
      <c r="J173" s="42">
        <f>IFERROR(AVERAGE(Data!J178), "  ")</f>
        <v>37</v>
      </c>
      <c r="K173" s="44">
        <f>IFERROR(AVERAGE(Data!K178), "  ")</f>
        <v>7.098765432098765E-2</v>
      </c>
      <c r="L173" s="45">
        <f>IFERROR(AVERAGE(Data!L178), "  ")</f>
        <v>699</v>
      </c>
    </row>
    <row r="174" spans="1:12" x14ac:dyDescent="0.2">
      <c r="A174" s="43">
        <f>Data!A179</f>
        <v>39844</v>
      </c>
      <c r="B174" s="42">
        <f>IFERROR(AVERAGE(Data!B179), "  ")</f>
        <v>86</v>
      </c>
      <c r="C174" s="42">
        <f>IFERROR(AVERAGE(Data!C179), "  ")</f>
        <v>27</v>
      </c>
      <c r="D174" s="42">
        <f>IFERROR(AVERAGE(Data!D179), "  ")</f>
        <v>42</v>
      </c>
      <c r="E174" s="42">
        <f>IFERROR(AVERAGE(Data!E179), "  ")</f>
        <v>155</v>
      </c>
      <c r="F174" s="42">
        <f>IFERROR(AVERAGE(Data!F179), "  ")</f>
        <v>636</v>
      </c>
      <c r="G174" s="42">
        <f>IFERROR(AVERAGE(Data!G179), "  ")</f>
        <v>481</v>
      </c>
      <c r="H174" s="44">
        <f>IFERROR(AVERAGE(Data!H179), "  ")</f>
        <v>-8.3573487031700283E-2</v>
      </c>
      <c r="I174" s="44">
        <f>IFERROR(AVERAGE(Data!I179), "  ")</f>
        <v>-0.65246636771300448</v>
      </c>
      <c r="J174" s="42">
        <f>IFERROR(AVERAGE(Data!J179), "  ")</f>
        <v>-291</v>
      </c>
      <c r="K174" s="44">
        <f>IFERROR(AVERAGE(Data!K179), "  ")</f>
        <v>-0.17402597402597403</v>
      </c>
      <c r="L174" s="45">
        <f>IFERROR(AVERAGE(Data!L179), "  ")</f>
        <v>716.33333333333337</v>
      </c>
    </row>
    <row r="175" spans="1:12" x14ac:dyDescent="0.2">
      <c r="A175" s="43">
        <f>Data!A180</f>
        <v>39851</v>
      </c>
      <c r="B175" s="42">
        <f>IFERROR(AVERAGE(Data!B180), "  ")</f>
        <v>107</v>
      </c>
      <c r="C175" s="42">
        <f>IFERROR(AVERAGE(Data!C180), "  ")</f>
        <v>38</v>
      </c>
      <c r="D175" s="42">
        <f>IFERROR(AVERAGE(Data!D180), "  ")</f>
        <v>133</v>
      </c>
      <c r="E175" s="42">
        <f>IFERROR(AVERAGE(Data!E180), "  ")</f>
        <v>278</v>
      </c>
      <c r="F175" s="42">
        <f>IFERROR(AVERAGE(Data!F180), "  ")</f>
        <v>687</v>
      </c>
      <c r="G175" s="42">
        <f>IFERROR(AVERAGE(Data!G180), "  ")</f>
        <v>409</v>
      </c>
      <c r="H175" s="44">
        <f>IFERROR(AVERAGE(Data!H180), "  ")</f>
        <v>8.0188679245283015E-2</v>
      </c>
      <c r="I175" s="44">
        <f>IFERROR(AVERAGE(Data!I180), "  ")</f>
        <v>0.79354838709677422</v>
      </c>
      <c r="J175" s="42">
        <f>IFERROR(AVERAGE(Data!J180), "  ")</f>
        <v>123</v>
      </c>
      <c r="K175" s="44">
        <f>IFERROR(AVERAGE(Data!K180), "  ")</f>
        <v>-8.2777036048064079E-2</v>
      </c>
      <c r="L175" s="45">
        <f>IFERROR(AVERAGE(Data!L180), "  ")</f>
        <v>733.66666666666663</v>
      </c>
    </row>
    <row r="176" spans="1:12" x14ac:dyDescent="0.2">
      <c r="A176" s="43">
        <f>Data!A181</f>
        <v>39858</v>
      </c>
      <c r="B176" s="42">
        <f>IFERROR(AVERAGE(Data!B181), "  ")</f>
        <v>150</v>
      </c>
      <c r="C176" s="42">
        <f>IFERROR(AVERAGE(Data!C181), "  ")</f>
        <v>42</v>
      </c>
      <c r="D176" s="42">
        <f>IFERROR(AVERAGE(Data!D181), "  ")</f>
        <v>140</v>
      </c>
      <c r="E176" s="42">
        <f>IFERROR(AVERAGE(Data!E181), "  ")</f>
        <v>332</v>
      </c>
      <c r="F176" s="42">
        <f>IFERROR(AVERAGE(Data!F181), "  ")</f>
        <v>646</v>
      </c>
      <c r="G176" s="42">
        <f>IFERROR(AVERAGE(Data!G181), "  ")</f>
        <v>314</v>
      </c>
      <c r="H176" s="44">
        <f>IFERROR(AVERAGE(Data!H181), "  ")</f>
        <v>-5.9679767103347887E-2</v>
      </c>
      <c r="I176" s="44">
        <f>IFERROR(AVERAGE(Data!I181), "  ")</f>
        <v>0.19424460431654678</v>
      </c>
      <c r="J176" s="42">
        <f>IFERROR(AVERAGE(Data!J181), "  ")</f>
        <v>54</v>
      </c>
      <c r="K176" s="44">
        <f>IFERROR(AVERAGE(Data!K181), "  ")</f>
        <v>-0.14663143989431968</v>
      </c>
      <c r="L176" s="45">
        <f>IFERROR(AVERAGE(Data!L181), "  ")</f>
        <v>774</v>
      </c>
    </row>
    <row r="177" spans="1:12" x14ac:dyDescent="0.2">
      <c r="A177" s="43">
        <f>Data!A182</f>
        <v>39865</v>
      </c>
      <c r="B177" s="42">
        <f>IFERROR(AVERAGE(Data!B182), "  ")</f>
        <v>249</v>
      </c>
      <c r="C177" s="42">
        <f>IFERROR(AVERAGE(Data!C182), "  ")</f>
        <v>32</v>
      </c>
      <c r="D177" s="42">
        <f>IFERROR(AVERAGE(Data!D182), "  ")</f>
        <v>66</v>
      </c>
      <c r="E177" s="42">
        <f>IFERROR(AVERAGE(Data!E182), "  ")</f>
        <v>347</v>
      </c>
      <c r="F177" s="42">
        <f>IFERROR(AVERAGE(Data!F182), "  ")</f>
        <v>561</v>
      </c>
      <c r="G177" s="42">
        <f>IFERROR(AVERAGE(Data!G182), "  ")</f>
        <v>214</v>
      </c>
      <c r="H177" s="44">
        <f>IFERROR(AVERAGE(Data!H182), "  ")</f>
        <v>-0.13157894736842105</v>
      </c>
      <c r="I177" s="44">
        <f>IFERROR(AVERAGE(Data!I182), "  ")</f>
        <v>4.5180722891566265E-2</v>
      </c>
      <c r="J177" s="42">
        <f>IFERROR(AVERAGE(Data!J182), "  ")</f>
        <v>15</v>
      </c>
      <c r="K177" s="44">
        <f>IFERROR(AVERAGE(Data!K182), "  ")</f>
        <v>-7.57825370675453E-2</v>
      </c>
      <c r="L177" s="45">
        <f>IFERROR(AVERAGE(Data!L182), "  ")</f>
        <v>646.33333333333337</v>
      </c>
    </row>
    <row r="178" spans="1:12" x14ac:dyDescent="0.2">
      <c r="A178" s="43">
        <f>Data!A183</f>
        <v>39872</v>
      </c>
      <c r="B178" s="42">
        <f>IFERROR(AVERAGE(Data!B183), "  ")</f>
        <v>384</v>
      </c>
      <c r="C178" s="42">
        <f>IFERROR(AVERAGE(Data!C183), "  ")</f>
        <v>42</v>
      </c>
      <c r="D178" s="42">
        <f>IFERROR(AVERAGE(Data!D183), "  ")</f>
        <v>183</v>
      </c>
      <c r="E178" s="42">
        <f>IFERROR(AVERAGE(Data!E183), "  ")</f>
        <v>609</v>
      </c>
      <c r="F178" s="42">
        <f>IFERROR(AVERAGE(Data!F183), "  ")</f>
        <v>507</v>
      </c>
      <c r="G178" s="42">
        <f>IFERROR(AVERAGE(Data!G183), "  ")</f>
        <v>-102</v>
      </c>
      <c r="H178" s="44">
        <f>IFERROR(AVERAGE(Data!H183), "  ")</f>
        <v>-9.6256684491978606E-2</v>
      </c>
      <c r="I178" s="44">
        <f>IFERROR(AVERAGE(Data!I183), "  ")</f>
        <v>0.75504322766570608</v>
      </c>
      <c r="J178" s="42">
        <f>IFERROR(AVERAGE(Data!J183), "  ")</f>
        <v>262</v>
      </c>
      <c r="K178" s="44">
        <f>IFERROR(AVERAGE(Data!K183), "  ")</f>
        <v>-0.19138755980861244</v>
      </c>
      <c r="L178" s="45">
        <f>IFERROR(AVERAGE(Data!L183), "  ")</f>
        <v>666.66666666666663</v>
      </c>
    </row>
    <row r="179" spans="1:12" x14ac:dyDescent="0.2">
      <c r="A179" s="43">
        <f>Data!A184</f>
        <v>39879</v>
      </c>
      <c r="B179" s="42">
        <f>IFERROR(AVERAGE(Data!B184), "  ")</f>
        <v>330</v>
      </c>
      <c r="C179" s="42">
        <f>IFERROR(AVERAGE(Data!C184), "  ")</f>
        <v>30</v>
      </c>
      <c r="D179" s="42">
        <f>IFERROR(AVERAGE(Data!D184), "  ")</f>
        <v>124</v>
      </c>
      <c r="E179" s="42">
        <f>IFERROR(AVERAGE(Data!E184), "  ")</f>
        <v>484</v>
      </c>
      <c r="F179" s="42">
        <f>IFERROR(AVERAGE(Data!F184), "  ")</f>
        <v>585</v>
      </c>
      <c r="G179" s="42">
        <f>IFERROR(AVERAGE(Data!G184), "  ")</f>
        <v>101</v>
      </c>
      <c r="H179" s="44">
        <f>IFERROR(AVERAGE(Data!H184), "  ")</f>
        <v>0.15384615384615385</v>
      </c>
      <c r="I179" s="44">
        <f>IFERROR(AVERAGE(Data!I184), "  ")</f>
        <v>-0.20525451559934318</v>
      </c>
      <c r="J179" s="42">
        <f>IFERROR(AVERAGE(Data!J184), "  ")</f>
        <v>-125</v>
      </c>
      <c r="K179" s="44">
        <f>IFERROR(AVERAGE(Data!K184), "  ")</f>
        <v>-0.17952314165497896</v>
      </c>
      <c r="L179" s="45">
        <f>IFERROR(AVERAGE(Data!L184), "  ")</f>
        <v>666.66666666666663</v>
      </c>
    </row>
    <row r="180" spans="1:12" x14ac:dyDescent="0.2">
      <c r="A180" s="43">
        <f>Data!A185</f>
        <v>39886</v>
      </c>
      <c r="B180" s="42">
        <f>IFERROR(AVERAGE(Data!B185), "  ")</f>
        <v>355</v>
      </c>
      <c r="C180" s="42">
        <f>IFERROR(AVERAGE(Data!C185), "  ")</f>
        <v>20</v>
      </c>
      <c r="D180" s="42">
        <f>IFERROR(AVERAGE(Data!D185), "  ")</f>
        <v>104</v>
      </c>
      <c r="E180" s="42">
        <f>IFERROR(AVERAGE(Data!E185), "  ")</f>
        <v>479</v>
      </c>
      <c r="F180" s="42">
        <f>IFERROR(AVERAGE(Data!F185), "  ")</f>
        <v>563</v>
      </c>
      <c r="G180" s="42">
        <f>IFERROR(AVERAGE(Data!G185), "  ")</f>
        <v>84</v>
      </c>
      <c r="H180" s="44">
        <f>IFERROR(AVERAGE(Data!H185), "  ")</f>
        <v>-3.7606837606837605E-2</v>
      </c>
      <c r="I180" s="44">
        <f>IFERROR(AVERAGE(Data!I185), "  ")</f>
        <v>-1.0330578512396695E-2</v>
      </c>
      <c r="J180" s="42">
        <f>IFERROR(AVERAGE(Data!J185), "  ")</f>
        <v>-5</v>
      </c>
      <c r="K180" s="44">
        <f>IFERROR(AVERAGE(Data!K185), "  ")</f>
        <v>-0.14826021180030258</v>
      </c>
      <c r="L180" s="45">
        <f>IFERROR(AVERAGE(Data!L185), "  ")</f>
        <v>599.66666666666663</v>
      </c>
    </row>
    <row r="181" spans="1:12" x14ac:dyDescent="0.2">
      <c r="A181" s="43">
        <f>Data!A186</f>
        <v>39893</v>
      </c>
      <c r="B181" s="42">
        <f>IFERROR(AVERAGE(Data!B186), "  ")</f>
        <v>283</v>
      </c>
      <c r="C181" s="42">
        <f>IFERROR(AVERAGE(Data!C186), "  ")</f>
        <v>28</v>
      </c>
      <c r="D181" s="42">
        <f>IFERROR(AVERAGE(Data!D186), "  ")</f>
        <v>74</v>
      </c>
      <c r="E181" s="42">
        <f>IFERROR(AVERAGE(Data!E186), "  ")</f>
        <v>385</v>
      </c>
      <c r="F181" s="42">
        <f>IFERROR(AVERAGE(Data!F186), "  ")</f>
        <v>577</v>
      </c>
      <c r="G181" s="42">
        <f>IFERROR(AVERAGE(Data!G186), "  ")</f>
        <v>192</v>
      </c>
      <c r="H181" s="44">
        <f>IFERROR(AVERAGE(Data!H186), "  ")</f>
        <v>2.4866785079928951E-2</v>
      </c>
      <c r="I181" s="44">
        <f>IFERROR(AVERAGE(Data!I186), "  ")</f>
        <v>-0.19624217118997914</v>
      </c>
      <c r="J181" s="42">
        <f>IFERROR(AVERAGE(Data!J186), "  ")</f>
        <v>-94</v>
      </c>
      <c r="K181" s="44">
        <f>IFERROR(AVERAGE(Data!K186), "  ")</f>
        <v>-3.833333333333333E-2</v>
      </c>
      <c r="L181" s="45">
        <f>IFERROR(AVERAGE(Data!L186), "  ")</f>
        <v>530.33333333333337</v>
      </c>
    </row>
    <row r="182" spans="1:12" x14ac:dyDescent="0.2">
      <c r="A182" s="43">
        <f>Data!A187</f>
        <v>39900</v>
      </c>
      <c r="B182" s="42">
        <f>IFERROR(AVERAGE(Data!B187), "  ")</f>
        <v>275</v>
      </c>
      <c r="C182" s="42">
        <f>IFERROR(AVERAGE(Data!C187), "  ")</f>
        <v>24</v>
      </c>
      <c r="D182" s="42">
        <f>IFERROR(AVERAGE(Data!D187), "  ")</f>
        <v>87</v>
      </c>
      <c r="E182" s="42">
        <f>IFERROR(AVERAGE(Data!E187), "  ")</f>
        <v>386</v>
      </c>
      <c r="F182" s="42">
        <f>IFERROR(AVERAGE(Data!F187), "  ")</f>
        <v>641</v>
      </c>
      <c r="G182" s="42">
        <f>IFERROR(AVERAGE(Data!G187), "  ")</f>
        <v>255</v>
      </c>
      <c r="H182" s="44">
        <f>IFERROR(AVERAGE(Data!H187), "  ")</f>
        <v>0.11091854419410745</v>
      </c>
      <c r="I182" s="44">
        <f>IFERROR(AVERAGE(Data!I187), "  ")</f>
        <v>2.5974025974025974E-3</v>
      </c>
      <c r="J182" s="42">
        <f>IFERROR(AVERAGE(Data!J187), "  ")</f>
        <v>1</v>
      </c>
      <c r="K182" s="44">
        <f>IFERROR(AVERAGE(Data!K187), "  ")</f>
        <v>0.26181102362204722</v>
      </c>
      <c r="L182" s="45">
        <f>IFERROR(AVERAGE(Data!L187), "  ")</f>
        <v>416</v>
      </c>
    </row>
    <row r="183" spans="1:12" x14ac:dyDescent="0.2">
      <c r="A183" s="43">
        <f>Data!A188</f>
        <v>39907</v>
      </c>
      <c r="B183" s="42">
        <f>IFERROR(AVERAGE(Data!B188), "  ")</f>
        <v>358</v>
      </c>
      <c r="C183" s="42">
        <f>IFERROR(AVERAGE(Data!C188), "  ")</f>
        <v>13</v>
      </c>
      <c r="D183" s="42">
        <f>IFERROR(AVERAGE(Data!D188), "  ")</f>
        <v>88</v>
      </c>
      <c r="E183" s="42">
        <f>IFERROR(AVERAGE(Data!E188), "  ")</f>
        <v>459</v>
      </c>
      <c r="F183" s="42">
        <f>IFERROR(AVERAGE(Data!F188), "  ")</f>
        <v>663</v>
      </c>
      <c r="G183" s="42">
        <f>IFERROR(AVERAGE(Data!G188), "  ")</f>
        <v>204</v>
      </c>
      <c r="H183" s="44">
        <f>IFERROR(AVERAGE(Data!H188), "  ")</f>
        <v>3.4321372854914198E-2</v>
      </c>
      <c r="I183" s="44">
        <f>IFERROR(AVERAGE(Data!I188), "  ")</f>
        <v>0.18911917098445596</v>
      </c>
      <c r="J183" s="42">
        <f>IFERROR(AVERAGE(Data!J188), "  ")</f>
        <v>73</v>
      </c>
      <c r="K183" s="44">
        <f>IFERROR(AVERAGE(Data!K188), "  ")</f>
        <v>0.33132530120481929</v>
      </c>
      <c r="L183" s="45">
        <f>IFERROR(AVERAGE(Data!L188), "  ")</f>
        <v>384.66666666666669</v>
      </c>
    </row>
    <row r="184" spans="1:12" x14ac:dyDescent="0.2">
      <c r="A184" s="43">
        <f>Data!A189</f>
        <v>39914</v>
      </c>
      <c r="B184" s="42">
        <f>IFERROR(AVERAGE(Data!B189), "  ")</f>
        <v>325</v>
      </c>
      <c r="C184" s="42">
        <f>IFERROR(AVERAGE(Data!C189), "  ")</f>
        <v>30</v>
      </c>
      <c r="D184" s="42">
        <f>IFERROR(AVERAGE(Data!D189), "  ")</f>
        <v>70</v>
      </c>
      <c r="E184" s="42">
        <f>IFERROR(AVERAGE(Data!E189), "  ")</f>
        <v>425</v>
      </c>
      <c r="F184" s="42">
        <f>IFERROR(AVERAGE(Data!F189), "  ")</f>
        <v>664</v>
      </c>
      <c r="G184" s="42">
        <f>IFERROR(AVERAGE(Data!G189), "  ")</f>
        <v>239</v>
      </c>
      <c r="H184" s="44">
        <f>IFERROR(AVERAGE(Data!H189), "  ")</f>
        <v>1.5082956259426848E-3</v>
      </c>
      <c r="I184" s="44">
        <f>IFERROR(AVERAGE(Data!I189), "  ")</f>
        <v>-7.407407407407407E-2</v>
      </c>
      <c r="J184" s="42">
        <f>IFERROR(AVERAGE(Data!J189), "  ")</f>
        <v>-34</v>
      </c>
      <c r="K184" s="44">
        <f>IFERROR(AVERAGE(Data!K189), "  ")</f>
        <v>0.68101265822784807</v>
      </c>
      <c r="L184" s="45">
        <f>IFERROR(AVERAGE(Data!L189), "  ")</f>
        <v>438.33333333333331</v>
      </c>
    </row>
    <row r="185" spans="1:12" x14ac:dyDescent="0.2">
      <c r="A185" s="43">
        <f>Data!A190</f>
        <v>39921</v>
      </c>
      <c r="B185" s="42">
        <f>IFERROR(AVERAGE(Data!B190), "  ")</f>
        <v>416</v>
      </c>
      <c r="C185" s="42">
        <f>IFERROR(AVERAGE(Data!C190), "  ")</f>
        <v>27</v>
      </c>
      <c r="D185" s="42">
        <f>IFERROR(AVERAGE(Data!D190), "  ")</f>
        <v>73</v>
      </c>
      <c r="E185" s="42">
        <f>IFERROR(AVERAGE(Data!E190), "  ")</f>
        <v>516</v>
      </c>
      <c r="F185" s="42">
        <f>IFERROR(AVERAGE(Data!F190), "  ")</f>
        <v>623</v>
      </c>
      <c r="G185" s="42">
        <f>IFERROR(AVERAGE(Data!G190), "  ")</f>
        <v>107</v>
      </c>
      <c r="H185" s="44">
        <f>IFERROR(AVERAGE(Data!H190), "  ")</f>
        <v>-6.1746987951807226E-2</v>
      </c>
      <c r="I185" s="44">
        <f>IFERROR(AVERAGE(Data!I190), "  ")</f>
        <v>0.21411764705882352</v>
      </c>
      <c r="J185" s="42">
        <f>IFERROR(AVERAGE(Data!J190), "  ")</f>
        <v>91</v>
      </c>
      <c r="K185" s="44">
        <f>IFERROR(AVERAGE(Data!K190), "  ")</f>
        <v>0.39686098654708518</v>
      </c>
      <c r="L185" s="45">
        <f>IFERROR(AVERAGE(Data!L190), "  ")</f>
        <v>520.66666666666663</v>
      </c>
    </row>
    <row r="186" spans="1:12" x14ac:dyDescent="0.2">
      <c r="A186" s="43">
        <f>Data!A191</f>
        <v>39928</v>
      </c>
      <c r="B186" s="42">
        <f>IFERROR(AVERAGE(Data!B191), "  ")</f>
        <v>382</v>
      </c>
      <c r="C186" s="42">
        <f>IFERROR(AVERAGE(Data!C191), "  ")</f>
        <v>22</v>
      </c>
      <c r="D186" s="42">
        <f>IFERROR(AVERAGE(Data!D191), "  ")</f>
        <v>91</v>
      </c>
      <c r="E186" s="42">
        <f>IFERROR(AVERAGE(Data!E191), "  ")</f>
        <v>495</v>
      </c>
      <c r="F186" s="42">
        <f>IFERROR(AVERAGE(Data!F191), "  ")</f>
        <v>387</v>
      </c>
      <c r="G186" s="42">
        <f>IFERROR(AVERAGE(Data!G191), "  ")</f>
        <v>-108</v>
      </c>
      <c r="H186" s="44">
        <f>IFERROR(AVERAGE(Data!H191), "  ")</f>
        <v>-0.37881219903691815</v>
      </c>
      <c r="I186" s="44">
        <f>IFERROR(AVERAGE(Data!I191), "  ")</f>
        <v>-4.0697674418604654E-2</v>
      </c>
      <c r="J186" s="42">
        <f>IFERROR(AVERAGE(Data!J191), "  ")</f>
        <v>-21</v>
      </c>
      <c r="K186" s="44">
        <f>IFERROR(AVERAGE(Data!K191), "  ")</f>
        <v>0.22082018927444794</v>
      </c>
      <c r="L186" s="45">
        <f>IFERROR(AVERAGE(Data!L191), "  ")</f>
        <v>439.33333333333331</v>
      </c>
    </row>
    <row r="187" spans="1:12" x14ac:dyDescent="0.2">
      <c r="A187" s="43">
        <f>Data!A192</f>
        <v>39935</v>
      </c>
      <c r="B187" s="42">
        <f>IFERROR(AVERAGE(Data!B192), "  ")</f>
        <v>299</v>
      </c>
      <c r="C187" s="42">
        <f>IFERROR(AVERAGE(Data!C192), "  ")</f>
        <v>30</v>
      </c>
      <c r="D187" s="42">
        <f>IFERROR(AVERAGE(Data!D192), "  ")</f>
        <v>49</v>
      </c>
      <c r="E187" s="42">
        <f>IFERROR(AVERAGE(Data!E192), "  ")</f>
        <v>378</v>
      </c>
      <c r="F187" s="42">
        <f>IFERROR(AVERAGE(Data!F192), "  ")</f>
        <v>579</v>
      </c>
      <c r="G187" s="42">
        <f>IFERROR(AVERAGE(Data!G192), "  ")</f>
        <v>201</v>
      </c>
      <c r="H187" s="44">
        <f>IFERROR(AVERAGE(Data!H192), "  ")</f>
        <v>0.49612403100775193</v>
      </c>
      <c r="I187" s="44">
        <f>IFERROR(AVERAGE(Data!I192), "  ")</f>
        <v>-0.23636363636363636</v>
      </c>
      <c r="J187" s="42">
        <f>IFERROR(AVERAGE(Data!J192), "  ")</f>
        <v>-117</v>
      </c>
      <c r="K187" s="44">
        <f>IFERROR(AVERAGE(Data!K192), "  ")</f>
        <v>0.66858789625360227</v>
      </c>
      <c r="L187" s="45">
        <f>IFERROR(AVERAGE(Data!L192), "  ")</f>
        <v>434.66666666666669</v>
      </c>
    </row>
    <row r="188" spans="1:12" x14ac:dyDescent="0.2">
      <c r="A188" s="43">
        <f>Data!A193</f>
        <v>39942</v>
      </c>
      <c r="B188" s="42">
        <f>IFERROR(AVERAGE(Data!B193), "  ")</f>
        <v>327</v>
      </c>
      <c r="C188" s="42">
        <f>IFERROR(AVERAGE(Data!C193), "  ")</f>
        <v>3</v>
      </c>
      <c r="D188" s="42">
        <f>IFERROR(AVERAGE(Data!D193), "  ")</f>
        <v>62</v>
      </c>
      <c r="E188" s="42">
        <f>IFERROR(AVERAGE(Data!E193), "  ")</f>
        <v>392</v>
      </c>
      <c r="F188" s="42">
        <f>IFERROR(AVERAGE(Data!F193), "  ")</f>
        <v>618</v>
      </c>
      <c r="G188" s="42">
        <f>IFERROR(AVERAGE(Data!G193), "  ")</f>
        <v>226</v>
      </c>
      <c r="H188" s="44">
        <f>IFERROR(AVERAGE(Data!H193), "  ")</f>
        <v>6.7357512953367879E-2</v>
      </c>
      <c r="I188" s="44">
        <f>IFERROR(AVERAGE(Data!I193), "  ")</f>
        <v>3.7037037037037035E-2</v>
      </c>
      <c r="J188" s="42">
        <f>IFERROR(AVERAGE(Data!J193), "  ")</f>
        <v>14</v>
      </c>
      <c r="K188" s="44">
        <f>IFERROR(AVERAGE(Data!K193), "  ")</f>
        <v>1.2230215827338129</v>
      </c>
      <c r="L188" s="45">
        <f>IFERROR(AVERAGE(Data!L193), "  ")</f>
        <v>416.33333333333331</v>
      </c>
    </row>
    <row r="189" spans="1:12" x14ac:dyDescent="0.2">
      <c r="A189" s="43">
        <f>Data!A194</f>
        <v>39949</v>
      </c>
      <c r="B189" s="42">
        <f>IFERROR(AVERAGE(Data!B194), "  ")</f>
        <v>415</v>
      </c>
      <c r="C189" s="42">
        <f>IFERROR(AVERAGE(Data!C194), "  ")</f>
        <v>2</v>
      </c>
      <c r="D189" s="42">
        <f>IFERROR(AVERAGE(Data!D194), "  ")</f>
        <v>77</v>
      </c>
      <c r="E189" s="42">
        <f>IFERROR(AVERAGE(Data!E194), "  ")</f>
        <v>494</v>
      </c>
      <c r="F189" s="42">
        <f>IFERROR(AVERAGE(Data!F194), "  ")</f>
        <v>587</v>
      </c>
      <c r="G189" s="42">
        <f>IFERROR(AVERAGE(Data!G194), "  ")</f>
        <v>93</v>
      </c>
      <c r="H189" s="44">
        <f>IFERROR(AVERAGE(Data!H194), "  ")</f>
        <v>-5.0161812297734629E-2</v>
      </c>
      <c r="I189" s="44">
        <f>IFERROR(AVERAGE(Data!I194), "  ")</f>
        <v>0.26020408163265307</v>
      </c>
      <c r="J189" s="42">
        <f>IFERROR(AVERAGE(Data!J194), "  ")</f>
        <v>102</v>
      </c>
      <c r="K189" s="44">
        <f>IFERROR(AVERAGE(Data!K194), "  ")</f>
        <v>1.2664092664092663</v>
      </c>
      <c r="L189" s="45">
        <f>IFERROR(AVERAGE(Data!L194), "  ")</f>
        <v>409.33333333333331</v>
      </c>
    </row>
    <row r="190" spans="1:12" x14ac:dyDescent="0.2">
      <c r="A190" s="43">
        <f>Data!A195</f>
        <v>39956</v>
      </c>
      <c r="B190" s="42">
        <f>IFERROR(AVERAGE(Data!B195), "  ")</f>
        <v>410</v>
      </c>
      <c r="C190" s="42">
        <f>IFERROR(AVERAGE(Data!C195), "  ")</f>
        <v>7</v>
      </c>
      <c r="D190" s="42">
        <f>IFERROR(AVERAGE(Data!D195), "  ")</f>
        <v>41</v>
      </c>
      <c r="E190" s="42">
        <f>IFERROR(AVERAGE(Data!E195), "  ")</f>
        <v>458</v>
      </c>
      <c r="F190" s="42">
        <f>IFERROR(AVERAGE(Data!F195), "  ")</f>
        <v>480</v>
      </c>
      <c r="G190" s="42">
        <f>IFERROR(AVERAGE(Data!G195), "  ")</f>
        <v>22</v>
      </c>
      <c r="H190" s="44">
        <f>IFERROR(AVERAGE(Data!H195), "  ")</f>
        <v>-0.18228279386712096</v>
      </c>
      <c r="I190" s="44">
        <f>IFERROR(AVERAGE(Data!I195), "  ")</f>
        <v>-7.28744939271255E-2</v>
      </c>
      <c r="J190" s="42">
        <f>IFERROR(AVERAGE(Data!J195), "  ")</f>
        <v>-36</v>
      </c>
      <c r="K190" s="44">
        <f>IFERROR(AVERAGE(Data!K195), "  ")</f>
        <v>0.10091743119266056</v>
      </c>
      <c r="L190" s="45">
        <f>IFERROR(AVERAGE(Data!L195), "  ")</f>
        <v>500.66666666666669</v>
      </c>
    </row>
    <row r="191" spans="1:12" x14ac:dyDescent="0.2">
      <c r="A191" s="43">
        <f>Data!A196</f>
        <v>39963</v>
      </c>
      <c r="B191" s="42">
        <f>IFERROR(AVERAGE(Data!B196), "  ")</f>
        <v>390</v>
      </c>
      <c r="C191" s="42">
        <f>IFERROR(AVERAGE(Data!C196), "  ")</f>
        <v>20</v>
      </c>
      <c r="D191" s="42">
        <f>IFERROR(AVERAGE(Data!D196), "  ")</f>
        <v>61</v>
      </c>
      <c r="E191" s="42">
        <f>IFERROR(AVERAGE(Data!E196), "  ")</f>
        <v>471</v>
      </c>
      <c r="F191" s="42">
        <f>IFERROR(AVERAGE(Data!F196), "  ")</f>
        <v>541</v>
      </c>
      <c r="G191" s="42">
        <f>IFERROR(AVERAGE(Data!G196), "  ")</f>
        <v>70</v>
      </c>
      <c r="H191" s="44">
        <f>IFERROR(AVERAGE(Data!H196), "  ")</f>
        <v>0.12708333333333333</v>
      </c>
      <c r="I191" s="44">
        <f>IFERROR(AVERAGE(Data!I196), "  ")</f>
        <v>2.8384279475982533E-2</v>
      </c>
      <c r="J191" s="42">
        <f>IFERROR(AVERAGE(Data!J196), "  ")</f>
        <v>13</v>
      </c>
      <c r="K191" s="44">
        <f>IFERROR(AVERAGE(Data!K196), "  ")</f>
        <v>0.35249999999999998</v>
      </c>
      <c r="L191" s="45">
        <f>IFERROR(AVERAGE(Data!L196), "  ")</f>
        <v>476.66666666666669</v>
      </c>
    </row>
    <row r="192" spans="1:12" x14ac:dyDescent="0.2">
      <c r="A192" s="43">
        <f>Data!A197</f>
        <v>39970</v>
      </c>
      <c r="B192" s="42">
        <f>IFERROR(AVERAGE(Data!B197), "  ")</f>
        <v>428</v>
      </c>
      <c r="C192" s="42">
        <f>IFERROR(AVERAGE(Data!C197), "  ")</f>
        <v>18</v>
      </c>
      <c r="D192" s="42">
        <f>IFERROR(AVERAGE(Data!D197), "  ")</f>
        <v>64</v>
      </c>
      <c r="E192" s="42">
        <f>IFERROR(AVERAGE(Data!E197), "  ")</f>
        <v>510</v>
      </c>
      <c r="F192" s="42">
        <f>IFERROR(AVERAGE(Data!F197), "  ")</f>
        <v>535</v>
      </c>
      <c r="G192" s="42">
        <f>IFERROR(AVERAGE(Data!G197), "  ")</f>
        <v>25</v>
      </c>
      <c r="H192" s="44">
        <f>IFERROR(AVERAGE(Data!H197), "  ")</f>
        <v>-1.1090573012939002E-2</v>
      </c>
      <c r="I192" s="44">
        <f>IFERROR(AVERAGE(Data!I197), "  ")</f>
        <v>8.2802547770700632E-2</v>
      </c>
      <c r="J192" s="42">
        <f>IFERROR(AVERAGE(Data!J197), "  ")</f>
        <v>39</v>
      </c>
      <c r="K192" s="44">
        <f>IFERROR(AVERAGE(Data!K197), "  ")</f>
        <v>0.22146118721461186</v>
      </c>
      <c r="L192" s="45">
        <f>IFERROR(AVERAGE(Data!L197), "  ")</f>
        <v>483.66666666666669</v>
      </c>
    </row>
    <row r="193" spans="1:12" x14ac:dyDescent="0.2">
      <c r="A193" s="43">
        <f>Data!A198</f>
        <v>39977</v>
      </c>
      <c r="B193" s="42">
        <f>IFERROR(AVERAGE(Data!B198), "  ")</f>
        <v>450</v>
      </c>
      <c r="C193" s="42">
        <f>IFERROR(AVERAGE(Data!C198), "  ")</f>
        <v>30</v>
      </c>
      <c r="D193" s="42">
        <f>IFERROR(AVERAGE(Data!D198), "  ")</f>
        <v>61</v>
      </c>
      <c r="E193" s="42">
        <f>IFERROR(AVERAGE(Data!E198), "  ")</f>
        <v>541</v>
      </c>
      <c r="F193" s="42">
        <f>IFERROR(AVERAGE(Data!F198), "  ")</f>
        <v>654</v>
      </c>
      <c r="G193" s="42">
        <f>IFERROR(AVERAGE(Data!G198), "  ")</f>
        <v>113</v>
      </c>
      <c r="H193" s="44">
        <f>IFERROR(AVERAGE(Data!H198), "  ")</f>
        <v>0.22242990654205608</v>
      </c>
      <c r="I193" s="44">
        <f>IFERROR(AVERAGE(Data!I198), "  ")</f>
        <v>6.0784313725490195E-2</v>
      </c>
      <c r="J193" s="42">
        <f>IFERROR(AVERAGE(Data!J198), "  ")</f>
        <v>31</v>
      </c>
      <c r="K193" s="44">
        <f>IFERROR(AVERAGE(Data!K198), "  ")</f>
        <v>0.30019880715705766</v>
      </c>
      <c r="L193" s="45">
        <f>IFERROR(AVERAGE(Data!L198), "  ")</f>
        <v>526</v>
      </c>
    </row>
    <row r="194" spans="1:12" x14ac:dyDescent="0.2">
      <c r="A194" s="43">
        <f>Data!A199</f>
        <v>39984</v>
      </c>
      <c r="B194" s="42">
        <f>IFERROR(AVERAGE(Data!B199), "  ")</f>
        <v>618</v>
      </c>
      <c r="C194" s="42">
        <f>IFERROR(AVERAGE(Data!C199), "  ")</f>
        <v>37</v>
      </c>
      <c r="D194" s="42">
        <f>IFERROR(AVERAGE(Data!D199), "  ")</f>
        <v>35</v>
      </c>
      <c r="E194" s="42">
        <f>IFERROR(AVERAGE(Data!E199), "  ")</f>
        <v>690</v>
      </c>
      <c r="F194" s="42">
        <f>IFERROR(AVERAGE(Data!F199), "  ")</f>
        <v>628</v>
      </c>
      <c r="G194" s="42">
        <f>IFERROR(AVERAGE(Data!G199), "  ")</f>
        <v>-62</v>
      </c>
      <c r="H194" s="44">
        <f>IFERROR(AVERAGE(Data!H199), "  ")</f>
        <v>-3.9755351681957186E-2</v>
      </c>
      <c r="I194" s="44">
        <f>IFERROR(AVERAGE(Data!I199), "  ")</f>
        <v>0.2754158964879852</v>
      </c>
      <c r="J194" s="42">
        <f>IFERROR(AVERAGE(Data!J199), "  ")</f>
        <v>149</v>
      </c>
      <c r="K194" s="44">
        <f>IFERROR(AVERAGE(Data!K199), "  ")</f>
        <v>0.145985401459854</v>
      </c>
      <c r="L194" s="45">
        <f>IFERROR(AVERAGE(Data!L199), "  ")</f>
        <v>493</v>
      </c>
    </row>
    <row r="195" spans="1:12" x14ac:dyDescent="0.2">
      <c r="A195" s="43">
        <f>Data!A200</f>
        <v>39991</v>
      </c>
      <c r="B195" s="42">
        <f>IFERROR(AVERAGE(Data!B200), "  ")</f>
        <v>480</v>
      </c>
      <c r="C195" s="42">
        <f>IFERROR(AVERAGE(Data!C200), "  ")</f>
        <v>26</v>
      </c>
      <c r="D195" s="42">
        <f>IFERROR(AVERAGE(Data!D200), "  ")</f>
        <v>47</v>
      </c>
      <c r="E195" s="42">
        <f>IFERROR(AVERAGE(Data!E200), "  ")</f>
        <v>553</v>
      </c>
      <c r="F195" s="42">
        <f>IFERROR(AVERAGE(Data!F200), "  ")</f>
        <v>558</v>
      </c>
      <c r="G195" s="42">
        <f>IFERROR(AVERAGE(Data!G200), "  ")</f>
        <v>5</v>
      </c>
      <c r="H195" s="44">
        <f>IFERROR(AVERAGE(Data!H200), "  ")</f>
        <v>-0.11146496815286625</v>
      </c>
      <c r="I195" s="44">
        <f>IFERROR(AVERAGE(Data!I200), "  ")</f>
        <v>-0.19855072463768117</v>
      </c>
      <c r="J195" s="42">
        <f>IFERROR(AVERAGE(Data!J200), "  ")</f>
        <v>-137</v>
      </c>
      <c r="K195" s="44">
        <f>IFERROR(AVERAGE(Data!K200), "  ")</f>
        <v>0.18220338983050846</v>
      </c>
      <c r="L195" s="45">
        <f>IFERROR(AVERAGE(Data!L200), "  ")</f>
        <v>472</v>
      </c>
    </row>
    <row r="196" spans="1:12" x14ac:dyDescent="0.2">
      <c r="A196" s="43">
        <f>Data!A201</f>
        <v>39998</v>
      </c>
      <c r="B196" s="42">
        <f>IFERROR(AVERAGE(Data!B201), "  ")</f>
        <v>535</v>
      </c>
      <c r="C196" s="42">
        <f>IFERROR(AVERAGE(Data!C201), "  ")</f>
        <v>24</v>
      </c>
      <c r="D196" s="42">
        <f>IFERROR(AVERAGE(Data!D201), "  ")</f>
        <v>59</v>
      </c>
      <c r="E196" s="42">
        <f>IFERROR(AVERAGE(Data!E201), "  ")</f>
        <v>618</v>
      </c>
      <c r="F196" s="42">
        <f>IFERROR(AVERAGE(Data!F201), "  ")</f>
        <v>608</v>
      </c>
      <c r="G196" s="42">
        <f>IFERROR(AVERAGE(Data!G201), "  ")</f>
        <v>-10</v>
      </c>
      <c r="H196" s="44">
        <f>IFERROR(AVERAGE(Data!H201), "  ")</f>
        <v>8.9605734767025089E-2</v>
      </c>
      <c r="I196" s="44">
        <f>IFERROR(AVERAGE(Data!I201), "  ")</f>
        <v>0.11754068716094032</v>
      </c>
      <c r="J196" s="42">
        <f>IFERROR(AVERAGE(Data!J201), "  ")</f>
        <v>65</v>
      </c>
      <c r="K196" s="44">
        <f>IFERROR(AVERAGE(Data!K201), "  ")</f>
        <v>0.60422163588390498</v>
      </c>
      <c r="L196" s="45">
        <f>IFERROR(AVERAGE(Data!L201), "  ")</f>
        <v>395</v>
      </c>
    </row>
    <row r="197" spans="1:12" x14ac:dyDescent="0.2">
      <c r="A197" s="43">
        <f>Data!A202</f>
        <v>40005</v>
      </c>
      <c r="B197" s="42">
        <f>IFERROR(AVERAGE(Data!B202), "  ")</f>
        <v>422</v>
      </c>
      <c r="C197" s="42">
        <f>IFERROR(AVERAGE(Data!C202), "  ")</f>
        <v>9</v>
      </c>
      <c r="D197" s="42">
        <f>IFERROR(AVERAGE(Data!D202), "  ")</f>
        <v>21</v>
      </c>
      <c r="E197" s="42">
        <f>IFERROR(AVERAGE(Data!E202), "  ")</f>
        <v>452</v>
      </c>
      <c r="F197" s="42">
        <f>IFERROR(AVERAGE(Data!F202), "  ")</f>
        <v>600</v>
      </c>
      <c r="G197" s="42">
        <f>IFERROR(AVERAGE(Data!G202), "  ")</f>
        <v>148</v>
      </c>
      <c r="H197" s="44">
        <f>IFERROR(AVERAGE(Data!H202), "  ")</f>
        <v>-1.3157894736842105E-2</v>
      </c>
      <c r="I197" s="44">
        <f>IFERROR(AVERAGE(Data!I202), "  ")</f>
        <v>-0.26860841423948217</v>
      </c>
      <c r="J197" s="42">
        <f>IFERROR(AVERAGE(Data!J202), "  ")</f>
        <v>-166</v>
      </c>
      <c r="K197" s="44">
        <f>IFERROR(AVERAGE(Data!K202), "  ")</f>
        <v>0.65745856353591159</v>
      </c>
      <c r="L197" s="45">
        <f>IFERROR(AVERAGE(Data!L202), "  ")</f>
        <v>496.33333333333331</v>
      </c>
    </row>
    <row r="198" spans="1:12" x14ac:dyDescent="0.2">
      <c r="A198" s="43">
        <f>Data!A203</f>
        <v>40012</v>
      </c>
      <c r="B198" s="42">
        <f>IFERROR(AVERAGE(Data!B203), "  ")</f>
        <v>398</v>
      </c>
      <c r="C198" s="42">
        <f>IFERROR(AVERAGE(Data!C203), "  ")</f>
        <v>11</v>
      </c>
      <c r="D198" s="42">
        <f>IFERROR(AVERAGE(Data!D203), "  ")</f>
        <v>38</v>
      </c>
      <c r="E198" s="42">
        <f>IFERROR(AVERAGE(Data!E203), "  ")</f>
        <v>447</v>
      </c>
      <c r="F198" s="42">
        <f>IFERROR(AVERAGE(Data!F203), "  ")</f>
        <v>597</v>
      </c>
      <c r="G198" s="42">
        <f>IFERROR(AVERAGE(Data!G203), "  ")</f>
        <v>150</v>
      </c>
      <c r="H198" s="44">
        <f>IFERROR(AVERAGE(Data!H203), "  ")</f>
        <v>-5.0000000000000001E-3</v>
      </c>
      <c r="I198" s="44">
        <f>IFERROR(AVERAGE(Data!I203), "  ")</f>
        <v>-1.1061946902654867E-2</v>
      </c>
      <c r="J198" s="42">
        <f>IFERROR(AVERAGE(Data!J203), "  ")</f>
        <v>-5</v>
      </c>
      <c r="K198" s="44">
        <f>IFERROR(AVERAGE(Data!K203), "  ")</f>
        <v>0.66759776536312854</v>
      </c>
      <c r="L198" s="45">
        <f>IFERROR(AVERAGE(Data!L203), "  ")</f>
        <v>482.66666666666669</v>
      </c>
    </row>
    <row r="199" spans="1:12" x14ac:dyDescent="0.2">
      <c r="A199" s="43">
        <f>Data!A204</f>
        <v>40019</v>
      </c>
      <c r="B199" s="42">
        <f>IFERROR(AVERAGE(Data!B204), "  ")</f>
        <v>523</v>
      </c>
      <c r="C199" s="42">
        <f>IFERROR(AVERAGE(Data!C204), "  ")</f>
        <v>20</v>
      </c>
      <c r="D199" s="42">
        <f>IFERROR(AVERAGE(Data!D204), "  ")</f>
        <v>23</v>
      </c>
      <c r="E199" s="42">
        <f>IFERROR(AVERAGE(Data!E204), "  ")</f>
        <v>566</v>
      </c>
      <c r="F199" s="42">
        <f>IFERROR(AVERAGE(Data!F204), "  ")</f>
        <v>676</v>
      </c>
      <c r="G199" s="42">
        <f>IFERROR(AVERAGE(Data!G204), "  ")</f>
        <v>110</v>
      </c>
      <c r="H199" s="44">
        <f>IFERROR(AVERAGE(Data!H204), "  ")</f>
        <v>0.13232830820770519</v>
      </c>
      <c r="I199" s="44">
        <f>IFERROR(AVERAGE(Data!I204), "  ")</f>
        <v>0.26621923937360181</v>
      </c>
      <c r="J199" s="42">
        <f>IFERROR(AVERAGE(Data!J204), "  ")</f>
        <v>119</v>
      </c>
      <c r="K199" s="44">
        <f>IFERROR(AVERAGE(Data!K204), "  ")</f>
        <v>0.73778920308483287</v>
      </c>
      <c r="L199" s="45">
        <f>IFERROR(AVERAGE(Data!L204), "  ")</f>
        <v>513.33333333333337</v>
      </c>
    </row>
    <row r="200" spans="1:12" x14ac:dyDescent="0.2">
      <c r="A200" s="43">
        <f>Data!A205</f>
        <v>40026</v>
      </c>
      <c r="B200" s="42">
        <f>IFERROR(AVERAGE(Data!B205), "  ")</f>
        <v>638</v>
      </c>
      <c r="C200" s="42">
        <f>IFERROR(AVERAGE(Data!C205), "  ")</f>
        <v>6</v>
      </c>
      <c r="D200" s="42">
        <f>IFERROR(AVERAGE(Data!D205), "  ")</f>
        <v>47</v>
      </c>
      <c r="E200" s="42">
        <f>IFERROR(AVERAGE(Data!E205), "  ")</f>
        <v>691</v>
      </c>
      <c r="F200" s="42">
        <f>IFERROR(AVERAGE(Data!F205), "  ")</f>
        <v>482</v>
      </c>
      <c r="G200" s="42">
        <f>IFERROR(AVERAGE(Data!G205), "  ")</f>
        <v>-209</v>
      </c>
      <c r="H200" s="44">
        <f>IFERROR(AVERAGE(Data!H205), "  ")</f>
        <v>-0.28698224852071008</v>
      </c>
      <c r="I200" s="44">
        <f>IFERROR(AVERAGE(Data!I205), "  ")</f>
        <v>0.22084805653710246</v>
      </c>
      <c r="J200" s="42">
        <f>IFERROR(AVERAGE(Data!J205), "  ")</f>
        <v>125</v>
      </c>
      <c r="K200" s="44">
        <f>IFERROR(AVERAGE(Data!K205), "  ")</f>
        <v>5.4704595185995623E-2</v>
      </c>
      <c r="L200" s="45">
        <f>IFERROR(AVERAGE(Data!L205), "  ")</f>
        <v>481.33333333333331</v>
      </c>
    </row>
    <row r="201" spans="1:12" x14ac:dyDescent="0.2">
      <c r="A201" s="43">
        <f>Data!A206</f>
        <v>40033</v>
      </c>
      <c r="B201" s="42">
        <f>IFERROR(AVERAGE(Data!B206), "  ")</f>
        <v>443</v>
      </c>
      <c r="C201" s="42">
        <f>IFERROR(AVERAGE(Data!C206), "  ")</f>
        <v>17</v>
      </c>
      <c r="D201" s="42">
        <f>IFERROR(AVERAGE(Data!D206), "  ")</f>
        <v>56</v>
      </c>
      <c r="E201" s="42">
        <f>IFERROR(AVERAGE(Data!E206), "  ")</f>
        <v>516</v>
      </c>
      <c r="F201" s="42">
        <f>IFERROR(AVERAGE(Data!F206), "  ")</f>
        <v>555</v>
      </c>
      <c r="G201" s="42">
        <f>IFERROR(AVERAGE(Data!G206), "  ")</f>
        <v>39</v>
      </c>
      <c r="H201" s="44">
        <f>IFERROR(AVERAGE(Data!H206), "  ")</f>
        <v>0.15145228215767634</v>
      </c>
      <c r="I201" s="44">
        <f>IFERROR(AVERAGE(Data!I206), "  ")</f>
        <v>-0.25325615050651229</v>
      </c>
      <c r="J201" s="42">
        <f>IFERROR(AVERAGE(Data!J206), "  ")</f>
        <v>-175</v>
      </c>
      <c r="K201" s="44">
        <f>IFERROR(AVERAGE(Data!K206), "  ")</f>
        <v>-0.14351851851851852</v>
      </c>
      <c r="L201" s="45">
        <f>IFERROR(AVERAGE(Data!L206), "  ")</f>
        <v>607.66666666666663</v>
      </c>
    </row>
    <row r="202" spans="1:12" x14ac:dyDescent="0.2">
      <c r="A202" s="43">
        <f>Data!A207</f>
        <v>40040</v>
      </c>
      <c r="B202" s="42">
        <f>IFERROR(AVERAGE(Data!B207), "  ")</f>
        <v>515</v>
      </c>
      <c r="C202" s="42">
        <f>IFERROR(AVERAGE(Data!C207), "  ")</f>
        <v>10</v>
      </c>
      <c r="D202" s="42">
        <f>IFERROR(AVERAGE(Data!D207), "  ")</f>
        <v>29</v>
      </c>
      <c r="E202" s="42">
        <f>IFERROR(AVERAGE(Data!E207), "  ")</f>
        <v>554</v>
      </c>
      <c r="F202" s="42">
        <f>IFERROR(AVERAGE(Data!F207), "  ")</f>
        <v>459</v>
      </c>
      <c r="G202" s="42">
        <f>IFERROR(AVERAGE(Data!G207), "  ")</f>
        <v>-95</v>
      </c>
      <c r="H202" s="44">
        <f>IFERROR(AVERAGE(Data!H207), "  ")</f>
        <v>-0.17297297297297298</v>
      </c>
      <c r="I202" s="44">
        <f>IFERROR(AVERAGE(Data!I207), "  ")</f>
        <v>7.3643410852713184E-2</v>
      </c>
      <c r="J202" s="42">
        <f>IFERROR(AVERAGE(Data!J207), "  ")</f>
        <v>38</v>
      </c>
      <c r="K202" s="44">
        <f>IFERROR(AVERAGE(Data!K207), "  ")</f>
        <v>-0.19190140845070422</v>
      </c>
      <c r="L202" s="45">
        <f>IFERROR(AVERAGE(Data!L207), "  ")</f>
        <v>595.33333333333337</v>
      </c>
    </row>
    <row r="203" spans="1:12" x14ac:dyDescent="0.2">
      <c r="A203" s="43">
        <f>Data!A208</f>
        <v>40047</v>
      </c>
      <c r="B203" s="42">
        <f>IFERROR(AVERAGE(Data!B208), "  ")</f>
        <v>419</v>
      </c>
      <c r="C203" s="42">
        <f>IFERROR(AVERAGE(Data!C208), "  ")</f>
        <v>9</v>
      </c>
      <c r="D203" s="42">
        <f>IFERROR(AVERAGE(Data!D208), "  ")</f>
        <v>43</v>
      </c>
      <c r="E203" s="42">
        <f>IFERROR(AVERAGE(Data!E208), "  ")</f>
        <v>471</v>
      </c>
      <c r="F203" s="42">
        <f>IFERROR(AVERAGE(Data!F208), "  ")</f>
        <v>544</v>
      </c>
      <c r="G203" s="42">
        <f>IFERROR(AVERAGE(Data!G208), "  ")</f>
        <v>73</v>
      </c>
      <c r="H203" s="44">
        <f>IFERROR(AVERAGE(Data!H208), "  ")</f>
        <v>0.18518518518518517</v>
      </c>
      <c r="I203" s="44">
        <f>IFERROR(AVERAGE(Data!I208), "  ")</f>
        <v>-0.14981949458483754</v>
      </c>
      <c r="J203" s="42">
        <f>IFERROR(AVERAGE(Data!J208), "  ")</f>
        <v>-83</v>
      </c>
      <c r="K203" s="44">
        <f>IFERROR(AVERAGE(Data!K208), "  ")</f>
        <v>3.619047619047619E-2</v>
      </c>
      <c r="L203" s="45">
        <f>IFERROR(AVERAGE(Data!L208), "  ")</f>
        <v>575</v>
      </c>
    </row>
    <row r="204" spans="1:12" x14ac:dyDescent="0.2">
      <c r="A204" s="43">
        <f>Data!A209</f>
        <v>40054</v>
      </c>
      <c r="B204" s="42">
        <f>IFERROR(AVERAGE(Data!B209), "  ")</f>
        <v>390</v>
      </c>
      <c r="C204" s="42">
        <f>IFERROR(AVERAGE(Data!C209), "  ")</f>
        <v>22</v>
      </c>
      <c r="D204" s="42">
        <f>IFERROR(AVERAGE(Data!D209), "  ")</f>
        <v>40</v>
      </c>
      <c r="E204" s="42">
        <f>IFERROR(AVERAGE(Data!E209), "  ")</f>
        <v>452</v>
      </c>
      <c r="F204" s="42">
        <f>IFERROR(AVERAGE(Data!F209), "  ")</f>
        <v>544</v>
      </c>
      <c r="G204" s="42">
        <f>IFERROR(AVERAGE(Data!G209), "  ")</f>
        <v>92</v>
      </c>
      <c r="H204" s="44">
        <f>IFERROR(AVERAGE(Data!H209), "  ")</f>
        <v>0</v>
      </c>
      <c r="I204" s="44">
        <f>IFERROR(AVERAGE(Data!I209), "  ")</f>
        <v>-4.0339702760084924E-2</v>
      </c>
      <c r="J204" s="42">
        <f>IFERROR(AVERAGE(Data!J209), "  ")</f>
        <v>-19</v>
      </c>
      <c r="K204" s="44">
        <f>IFERROR(AVERAGE(Data!K209), "  ")</f>
        <v>0.53239436619718306</v>
      </c>
      <c r="L204" s="45">
        <f>IFERROR(AVERAGE(Data!L209), "  ")</f>
        <v>510</v>
      </c>
    </row>
    <row r="205" spans="1:12" x14ac:dyDescent="0.2">
      <c r="A205" s="43">
        <f>Data!A210</f>
        <v>40061</v>
      </c>
      <c r="B205" s="42">
        <f>IFERROR(AVERAGE(Data!B210), "  ")</f>
        <v>202</v>
      </c>
      <c r="C205" s="42">
        <f>IFERROR(AVERAGE(Data!C210), "  ")</f>
        <v>2</v>
      </c>
      <c r="D205" s="42">
        <f>IFERROR(AVERAGE(Data!D210), "  ")</f>
        <v>38</v>
      </c>
      <c r="E205" s="42">
        <f>IFERROR(AVERAGE(Data!E210), "  ")</f>
        <v>242</v>
      </c>
      <c r="F205" s="42">
        <f>IFERROR(AVERAGE(Data!F210), "  ")</f>
        <v>606</v>
      </c>
      <c r="G205" s="42">
        <f>IFERROR(AVERAGE(Data!G210), "  ")</f>
        <v>364</v>
      </c>
      <c r="H205" s="44">
        <f>IFERROR(AVERAGE(Data!H210), "  ")</f>
        <v>0.11397058823529412</v>
      </c>
      <c r="I205" s="44">
        <f>IFERROR(AVERAGE(Data!I210), "  ")</f>
        <v>-0.46460176991150443</v>
      </c>
      <c r="J205" s="42">
        <f>IFERROR(AVERAGE(Data!J210), "  ")</f>
        <v>-210</v>
      </c>
      <c r="K205" s="44">
        <f>IFERROR(AVERAGE(Data!K210), "  ")</f>
        <v>13.428571428571429</v>
      </c>
      <c r="L205" s="45">
        <f>IFERROR(AVERAGE(Data!L210), "  ")</f>
        <v>426</v>
      </c>
    </row>
    <row r="206" spans="1:12" x14ac:dyDescent="0.2">
      <c r="A206" s="43">
        <f>Data!A211</f>
        <v>40068</v>
      </c>
      <c r="B206" s="42">
        <f>IFERROR(AVERAGE(Data!B211), "  ")</f>
        <v>163</v>
      </c>
      <c r="C206" s="42">
        <f>IFERROR(AVERAGE(Data!C211), "  ")</f>
        <v>6</v>
      </c>
      <c r="D206" s="42">
        <f>IFERROR(AVERAGE(Data!D211), "  ")</f>
        <v>30</v>
      </c>
      <c r="E206" s="42">
        <f>IFERROR(AVERAGE(Data!E211), "  ")</f>
        <v>199</v>
      </c>
      <c r="F206" s="42">
        <f>IFERROR(AVERAGE(Data!F211), "  ")</f>
        <v>457</v>
      </c>
      <c r="G206" s="42">
        <f>IFERROR(AVERAGE(Data!G211), "  ")</f>
        <v>258</v>
      </c>
      <c r="H206" s="44">
        <f>IFERROR(AVERAGE(Data!H211), "  ")</f>
        <v>-0.24587458745874588</v>
      </c>
      <c r="I206" s="44">
        <f>IFERROR(AVERAGE(Data!I211), "  ")</f>
        <v>-0.17768595041322313</v>
      </c>
      <c r="J206" s="42">
        <f>IFERROR(AVERAGE(Data!J211), "  ")</f>
        <v>-43</v>
      </c>
      <c r="K206" s="44">
        <f>IFERROR(AVERAGE(Data!K211), "  ")</f>
        <v>-4.5929018789144051E-2</v>
      </c>
      <c r="L206" s="45">
        <f>IFERROR(AVERAGE(Data!L211), "  ")</f>
        <v>606.33333333333337</v>
      </c>
    </row>
    <row r="207" spans="1:12" x14ac:dyDescent="0.2">
      <c r="A207" s="43">
        <f>Data!A212</f>
        <v>40075</v>
      </c>
      <c r="B207" s="42">
        <f>IFERROR(AVERAGE(Data!B212), "  ")</f>
        <v>119</v>
      </c>
      <c r="C207" s="42">
        <f>IFERROR(AVERAGE(Data!C212), "  ")</f>
        <v>23</v>
      </c>
      <c r="D207" s="42">
        <f>IFERROR(AVERAGE(Data!D212), "  ")</f>
        <v>18</v>
      </c>
      <c r="E207" s="42">
        <f>IFERROR(AVERAGE(Data!E212), "  ")</f>
        <v>160</v>
      </c>
      <c r="F207" s="42">
        <f>IFERROR(AVERAGE(Data!F212), "  ")</f>
        <v>514</v>
      </c>
      <c r="G207" s="42">
        <f>IFERROR(AVERAGE(Data!G212), "  ")</f>
        <v>354</v>
      </c>
      <c r="H207" s="44">
        <f>IFERROR(AVERAGE(Data!H212), "  ")</f>
        <v>0.12472647702407003</v>
      </c>
      <c r="I207" s="44">
        <f>IFERROR(AVERAGE(Data!I212), "  ")</f>
        <v>-0.19597989949748743</v>
      </c>
      <c r="J207" s="42">
        <f>IFERROR(AVERAGE(Data!J212), "  ")</f>
        <v>-39</v>
      </c>
      <c r="K207" s="44">
        <f>IFERROR(AVERAGE(Data!K212), "  ")</f>
        <v>-0.13758389261744966</v>
      </c>
      <c r="L207" s="45">
        <f>IFERROR(AVERAGE(Data!L212), "  ")</f>
        <v>616.33333333333337</v>
      </c>
    </row>
    <row r="208" spans="1:12" x14ac:dyDescent="0.2">
      <c r="A208" s="43">
        <f>Data!A213</f>
        <v>40082</v>
      </c>
      <c r="B208" s="42">
        <f>IFERROR(AVERAGE(Data!B213), "  ")</f>
        <v>121</v>
      </c>
      <c r="C208" s="42">
        <f>IFERROR(AVERAGE(Data!C213), "  ")</f>
        <v>5</v>
      </c>
      <c r="D208" s="42">
        <f>IFERROR(AVERAGE(Data!D213), "  ")</f>
        <v>86</v>
      </c>
      <c r="E208" s="42">
        <f>IFERROR(AVERAGE(Data!E213), "  ")</f>
        <v>212</v>
      </c>
      <c r="F208" s="42">
        <f>IFERROR(AVERAGE(Data!F213), "  ")</f>
        <v>553</v>
      </c>
      <c r="G208" s="42">
        <f>IFERROR(AVERAGE(Data!G213), "  ")</f>
        <v>341</v>
      </c>
      <c r="H208" s="44">
        <f>IFERROR(AVERAGE(Data!H213), "  ")</f>
        <v>7.5875486381322951E-2</v>
      </c>
      <c r="I208" s="44">
        <f>IFERROR(AVERAGE(Data!I213), "  ")</f>
        <v>0.32500000000000001</v>
      </c>
      <c r="J208" s="42">
        <f>IFERROR(AVERAGE(Data!J213), "  ")</f>
        <v>52</v>
      </c>
      <c r="K208" s="44">
        <f>IFERROR(AVERAGE(Data!K213), "  ")</f>
        <v>-3.4904013961605584E-2</v>
      </c>
      <c r="L208" s="45">
        <f>IFERROR(AVERAGE(Data!L213), "  ")</f>
        <v>575.33333333333337</v>
      </c>
    </row>
    <row r="209" spans="1:12" x14ac:dyDescent="0.2">
      <c r="A209" s="43">
        <f>Data!A214</f>
        <v>40089</v>
      </c>
      <c r="B209" s="42">
        <f>IFERROR(AVERAGE(Data!B214), "  ")</f>
        <v>166</v>
      </c>
      <c r="C209" s="42">
        <f>IFERROR(AVERAGE(Data!C214), "  ")</f>
        <v>7</v>
      </c>
      <c r="D209" s="42">
        <f>IFERROR(AVERAGE(Data!D214), "  ")</f>
        <v>56</v>
      </c>
      <c r="E209" s="42">
        <f>IFERROR(AVERAGE(Data!E214), "  ")</f>
        <v>229</v>
      </c>
      <c r="F209" s="42">
        <f>IFERROR(AVERAGE(Data!F214), "  ")</f>
        <v>445</v>
      </c>
      <c r="G209" s="42">
        <f>IFERROR(AVERAGE(Data!G214), "  ")</f>
        <v>216</v>
      </c>
      <c r="H209" s="44">
        <f>IFERROR(AVERAGE(Data!H214), "  ")</f>
        <v>-0.19529837251356238</v>
      </c>
      <c r="I209" s="44">
        <f>IFERROR(AVERAGE(Data!I214), "  ")</f>
        <v>8.0188679245283015E-2</v>
      </c>
      <c r="J209" s="42">
        <f>IFERROR(AVERAGE(Data!J214), "  ")</f>
        <v>17</v>
      </c>
      <c r="K209" s="44">
        <f>IFERROR(AVERAGE(Data!K214), "  ")</f>
        <v>-0.15879017013232513</v>
      </c>
      <c r="L209" s="45">
        <f>IFERROR(AVERAGE(Data!L214), "  ")</f>
        <v>606.66666666666663</v>
      </c>
    </row>
    <row r="210" spans="1:12" x14ac:dyDescent="0.2">
      <c r="A210" s="43">
        <f>Data!A215</f>
        <v>40096</v>
      </c>
      <c r="B210" s="42">
        <f>IFERROR(AVERAGE(Data!B215), "  ")</f>
        <v>211</v>
      </c>
      <c r="C210" s="42">
        <f>IFERROR(AVERAGE(Data!C215), "  ")</f>
        <v>22</v>
      </c>
      <c r="D210" s="42">
        <f>IFERROR(AVERAGE(Data!D215), "  ")</f>
        <v>89</v>
      </c>
      <c r="E210" s="42">
        <f>IFERROR(AVERAGE(Data!E215), "  ")</f>
        <v>322</v>
      </c>
      <c r="F210" s="42">
        <f>IFERROR(AVERAGE(Data!F215), "  ")</f>
        <v>430</v>
      </c>
      <c r="G210" s="42">
        <f>IFERROR(AVERAGE(Data!G215), "  ")</f>
        <v>108</v>
      </c>
      <c r="H210" s="44">
        <f>IFERROR(AVERAGE(Data!H215), "  ")</f>
        <v>-3.3707865168539325E-2</v>
      </c>
      <c r="I210" s="44">
        <f>IFERROR(AVERAGE(Data!I215), "  ")</f>
        <v>0.40611353711790393</v>
      </c>
      <c r="J210" s="42">
        <f>IFERROR(AVERAGE(Data!J215), "  ")</f>
        <v>93</v>
      </c>
      <c r="K210" s="44">
        <f>IFERROR(AVERAGE(Data!K215), "  ")</f>
        <v>-0.21960072595281308</v>
      </c>
      <c r="L210" s="45">
        <f>IFERROR(AVERAGE(Data!L215), "  ")</f>
        <v>621.33333333333337</v>
      </c>
    </row>
    <row r="211" spans="1:12" x14ac:dyDescent="0.2">
      <c r="A211" s="43">
        <f>Data!A216</f>
        <v>40103</v>
      </c>
      <c r="B211" s="42">
        <f>IFERROR(AVERAGE(Data!B216), "  ")</f>
        <v>167</v>
      </c>
      <c r="C211" s="42">
        <f>IFERROR(AVERAGE(Data!C216), "  ")</f>
        <v>9</v>
      </c>
      <c r="D211" s="42">
        <f>IFERROR(AVERAGE(Data!D216), "  ")</f>
        <v>114</v>
      </c>
      <c r="E211" s="42">
        <f>IFERROR(AVERAGE(Data!E216), "  ")</f>
        <v>290</v>
      </c>
      <c r="F211" s="42">
        <f>IFERROR(AVERAGE(Data!F216), "  ")</f>
        <v>497</v>
      </c>
      <c r="G211" s="42">
        <f>IFERROR(AVERAGE(Data!G216), "  ")</f>
        <v>207</v>
      </c>
      <c r="H211" s="44">
        <f>IFERROR(AVERAGE(Data!H216), "  ")</f>
        <v>0.1558139534883721</v>
      </c>
      <c r="I211" s="44">
        <f>IFERROR(AVERAGE(Data!I216), "  ")</f>
        <v>-9.9378881987577633E-2</v>
      </c>
      <c r="J211" s="42">
        <f>IFERROR(AVERAGE(Data!J216), "  ")</f>
        <v>-32</v>
      </c>
      <c r="K211" s="44">
        <f>IFERROR(AVERAGE(Data!K216), "  ")</f>
        <v>-0.13864818024263431</v>
      </c>
      <c r="L211" s="45">
        <f>IFERROR(AVERAGE(Data!L216), "  ")</f>
        <v>615.66666666666663</v>
      </c>
    </row>
    <row r="212" spans="1:12" x14ac:dyDescent="0.2">
      <c r="A212" s="43">
        <f>Data!A217</f>
        <v>40110</v>
      </c>
      <c r="B212" s="42">
        <f>IFERROR(AVERAGE(Data!B217), "  ")</f>
        <v>230</v>
      </c>
      <c r="C212" s="42">
        <f>IFERROR(AVERAGE(Data!C217), "  ")</f>
        <v>17</v>
      </c>
      <c r="D212" s="42">
        <f>IFERROR(AVERAGE(Data!D217), "  ")</f>
        <v>131</v>
      </c>
      <c r="E212" s="42">
        <f>IFERROR(AVERAGE(Data!E217), "  ")</f>
        <v>378</v>
      </c>
      <c r="F212" s="42">
        <f>IFERROR(AVERAGE(Data!F217), "  ")</f>
        <v>593</v>
      </c>
      <c r="G212" s="42">
        <f>IFERROR(AVERAGE(Data!G217), "  ")</f>
        <v>215</v>
      </c>
      <c r="H212" s="44">
        <f>IFERROR(AVERAGE(Data!H217), "  ")</f>
        <v>0.19315895372233399</v>
      </c>
      <c r="I212" s="44">
        <f>IFERROR(AVERAGE(Data!I217), "  ")</f>
        <v>0.30344827586206896</v>
      </c>
      <c r="J212" s="42">
        <f>IFERROR(AVERAGE(Data!J217), "  ")</f>
        <v>88</v>
      </c>
      <c r="K212" s="44">
        <f>IFERROR(AVERAGE(Data!K217), "  ")</f>
        <v>9.0073529411764705E-2</v>
      </c>
      <c r="L212" s="45">
        <f>IFERROR(AVERAGE(Data!L217), "  ")</f>
        <v>611</v>
      </c>
    </row>
    <row r="213" spans="1:12" x14ac:dyDescent="0.2">
      <c r="A213" s="43">
        <f>Data!A218</f>
        <v>40117</v>
      </c>
      <c r="B213" s="42">
        <f>IFERROR(AVERAGE(Data!B218), "  ")</f>
        <v>315</v>
      </c>
      <c r="C213" s="42">
        <f>IFERROR(AVERAGE(Data!C218), "  ")</f>
        <v>14</v>
      </c>
      <c r="D213" s="42">
        <f>IFERROR(AVERAGE(Data!D218), "  ")</f>
        <v>164</v>
      </c>
      <c r="E213" s="42">
        <f>IFERROR(AVERAGE(Data!E218), "  ")</f>
        <v>493</v>
      </c>
      <c r="F213" s="42">
        <f>IFERROR(AVERAGE(Data!F218), "  ")</f>
        <v>558</v>
      </c>
      <c r="G213" s="42">
        <f>IFERROR(AVERAGE(Data!G218), "  ")</f>
        <v>65</v>
      </c>
      <c r="H213" s="44">
        <f>IFERROR(AVERAGE(Data!H218), "  ")</f>
        <v>-5.9021922428330521E-2</v>
      </c>
      <c r="I213" s="44">
        <f>IFERROR(AVERAGE(Data!I218), "  ")</f>
        <v>0.30423280423280424</v>
      </c>
      <c r="J213" s="42">
        <f>IFERROR(AVERAGE(Data!J218), "  ")</f>
        <v>115</v>
      </c>
      <c r="K213" s="44">
        <f>IFERROR(AVERAGE(Data!K218), "  ")</f>
        <v>7.1017274472168906E-2</v>
      </c>
      <c r="L213" s="45">
        <f>IFERROR(AVERAGE(Data!L218), "  ")</f>
        <v>691.66666666666663</v>
      </c>
    </row>
    <row r="214" spans="1:12" x14ac:dyDescent="0.2">
      <c r="A214" s="43">
        <f>Data!A219</f>
        <v>40124</v>
      </c>
      <c r="B214" s="42">
        <f>IFERROR(AVERAGE(Data!B219), "  ")</f>
        <v>263</v>
      </c>
      <c r="C214" s="42">
        <f>IFERROR(AVERAGE(Data!C219), "  ")</f>
        <v>15</v>
      </c>
      <c r="D214" s="42">
        <f>IFERROR(AVERAGE(Data!D219), "  ")</f>
        <v>167</v>
      </c>
      <c r="E214" s="42">
        <f>IFERROR(AVERAGE(Data!E219), "  ")</f>
        <v>445</v>
      </c>
      <c r="F214" s="42">
        <f>IFERROR(AVERAGE(Data!F219), "  ")</f>
        <v>689</v>
      </c>
      <c r="G214" s="42">
        <f>IFERROR(AVERAGE(Data!G219), "  ")</f>
        <v>244</v>
      </c>
      <c r="H214" s="44">
        <f>IFERROR(AVERAGE(Data!H219), "  ")</f>
        <v>0.23476702508960573</v>
      </c>
      <c r="I214" s="44">
        <f>IFERROR(AVERAGE(Data!I219), "  ")</f>
        <v>-9.7363083164300201E-2</v>
      </c>
      <c r="J214" s="42">
        <f>IFERROR(AVERAGE(Data!J219), "  ")</f>
        <v>-48</v>
      </c>
      <c r="K214" s="44">
        <f>IFERROR(AVERAGE(Data!K219), "  ")</f>
        <v>0.18181818181818182</v>
      </c>
      <c r="L214" s="45">
        <f>IFERROR(AVERAGE(Data!L219), "  ")</f>
        <v>684.33333333333337</v>
      </c>
    </row>
    <row r="215" spans="1:12" x14ac:dyDescent="0.2">
      <c r="A215" s="43">
        <f>Data!A220</f>
        <v>40131</v>
      </c>
      <c r="B215" s="42">
        <f>IFERROR(AVERAGE(Data!B220), "  ")</f>
        <v>512</v>
      </c>
      <c r="C215" s="42">
        <f>IFERROR(AVERAGE(Data!C220), "  ")</f>
        <v>20</v>
      </c>
      <c r="D215" s="42">
        <f>IFERROR(AVERAGE(Data!D220), "  ")</f>
        <v>226</v>
      </c>
      <c r="E215" s="42">
        <f>IFERROR(AVERAGE(Data!E220), "  ")</f>
        <v>758</v>
      </c>
      <c r="F215" s="42">
        <f>IFERROR(AVERAGE(Data!F220), "  ")</f>
        <v>719</v>
      </c>
      <c r="G215" s="42">
        <f>IFERROR(AVERAGE(Data!G220), "  ")</f>
        <v>-39</v>
      </c>
      <c r="H215" s="44">
        <f>IFERROR(AVERAGE(Data!H220), "  ")</f>
        <v>4.3541364296081277E-2</v>
      </c>
      <c r="I215" s="44">
        <f>IFERROR(AVERAGE(Data!I220), "  ")</f>
        <v>0.70337078651685392</v>
      </c>
      <c r="J215" s="42">
        <f>IFERROR(AVERAGE(Data!J220), "  ")</f>
        <v>313</v>
      </c>
      <c r="K215" s="44">
        <f>IFERROR(AVERAGE(Data!K220), "  ")</f>
        <v>4.5058139534883718E-2</v>
      </c>
      <c r="L215" s="45">
        <f>IFERROR(AVERAGE(Data!L220), "  ")</f>
        <v>708</v>
      </c>
    </row>
    <row r="216" spans="1:12" x14ac:dyDescent="0.2">
      <c r="A216" s="43">
        <f>Data!A221</f>
        <v>40138</v>
      </c>
      <c r="B216" s="42">
        <f>IFERROR(AVERAGE(Data!B221), "  ")</f>
        <v>400</v>
      </c>
      <c r="C216" s="42">
        <f>IFERROR(AVERAGE(Data!C221), "  ")</f>
        <v>67</v>
      </c>
      <c r="D216" s="42">
        <f>IFERROR(AVERAGE(Data!D221), "  ")</f>
        <v>163</v>
      </c>
      <c r="E216" s="42">
        <f>IFERROR(AVERAGE(Data!E221), "  ")</f>
        <v>630</v>
      </c>
      <c r="F216" s="42">
        <f>IFERROR(AVERAGE(Data!F221), "  ")</f>
        <v>722</v>
      </c>
      <c r="G216" s="42">
        <f>IFERROR(AVERAGE(Data!G221), "  ")</f>
        <v>92</v>
      </c>
      <c r="H216" s="44">
        <f>IFERROR(AVERAGE(Data!H221), "  ")</f>
        <v>4.172461752433936E-3</v>
      </c>
      <c r="I216" s="44">
        <f>IFERROR(AVERAGE(Data!I221), "  ")</f>
        <v>-0.16886543535620052</v>
      </c>
      <c r="J216" s="42">
        <f>IFERROR(AVERAGE(Data!J221), "  ")</f>
        <v>-128</v>
      </c>
      <c r="K216" s="44">
        <f>IFERROR(AVERAGE(Data!K221), "  ")</f>
        <v>0.31034482758620691</v>
      </c>
      <c r="L216" s="45">
        <f>IFERROR(AVERAGE(Data!L221), "  ")</f>
        <v>645.33333333333337</v>
      </c>
    </row>
    <row r="217" spans="1:12" x14ac:dyDescent="0.2">
      <c r="A217" s="43">
        <f>Data!A222</f>
        <v>40145</v>
      </c>
      <c r="B217" s="42">
        <f>IFERROR(AVERAGE(Data!B222), "  ")</f>
        <v>433</v>
      </c>
      <c r="C217" s="42">
        <f>IFERROR(AVERAGE(Data!C222), "  ")</f>
        <v>49</v>
      </c>
      <c r="D217" s="42">
        <f>IFERROR(AVERAGE(Data!D222), "  ")</f>
        <v>136</v>
      </c>
      <c r="E217" s="42">
        <f>IFERROR(AVERAGE(Data!E222), "  ")</f>
        <v>618</v>
      </c>
      <c r="F217" s="42">
        <f>IFERROR(AVERAGE(Data!F222), "  ")</f>
        <v>593</v>
      </c>
      <c r="G217" s="42">
        <f>IFERROR(AVERAGE(Data!G222), "  ")</f>
        <v>-25</v>
      </c>
      <c r="H217" s="44">
        <f>IFERROR(AVERAGE(Data!H222), "  ")</f>
        <v>-0.17867036011080331</v>
      </c>
      <c r="I217" s="44">
        <f>IFERROR(AVERAGE(Data!I222), "  ")</f>
        <v>-1.9047619047619049E-2</v>
      </c>
      <c r="J217" s="42">
        <f>IFERROR(AVERAGE(Data!J222), "  ")</f>
        <v>-12</v>
      </c>
      <c r="K217" s="44">
        <f>IFERROR(AVERAGE(Data!K222), "  ")</f>
        <v>-8.4876543209876545E-2</v>
      </c>
      <c r="L217" s="45">
        <f>IFERROR(AVERAGE(Data!L222), "  ")</f>
        <v>685</v>
      </c>
    </row>
    <row r="218" spans="1:12" x14ac:dyDescent="0.2">
      <c r="A218" s="43">
        <f>Data!A223</f>
        <v>40152</v>
      </c>
      <c r="B218" s="42">
        <f>IFERROR(AVERAGE(Data!B223), "  ")</f>
        <v>500</v>
      </c>
      <c r="C218" s="42">
        <f>IFERROR(AVERAGE(Data!C223), "  ")</f>
        <v>41</v>
      </c>
      <c r="D218" s="42">
        <f>IFERROR(AVERAGE(Data!D223), "  ")</f>
        <v>106</v>
      </c>
      <c r="E218" s="42">
        <f>IFERROR(AVERAGE(Data!E223), "  ")</f>
        <v>647</v>
      </c>
      <c r="F218" s="42">
        <f>IFERROR(AVERAGE(Data!F223), "  ")</f>
        <v>625</v>
      </c>
      <c r="G218" s="42">
        <f>IFERROR(AVERAGE(Data!G223), "  ")</f>
        <v>-22</v>
      </c>
      <c r="H218" s="44">
        <f>IFERROR(AVERAGE(Data!H223), "  ")</f>
        <v>5.3962900505902189E-2</v>
      </c>
      <c r="I218" s="44">
        <f>IFERROR(AVERAGE(Data!I223), "  ")</f>
        <v>4.6925566343042069E-2</v>
      </c>
      <c r="J218" s="42">
        <f>IFERROR(AVERAGE(Data!J223), "  ")</f>
        <v>29</v>
      </c>
      <c r="K218" s="44">
        <f>IFERROR(AVERAGE(Data!K223), "  ")</f>
        <v>-0.12219101123595505</v>
      </c>
      <c r="L218" s="45">
        <f>IFERROR(AVERAGE(Data!L223), "  ")</f>
        <v>714</v>
      </c>
    </row>
    <row r="219" spans="1:12" x14ac:dyDescent="0.2">
      <c r="A219" s="43">
        <f>Data!A224</f>
        <v>40159</v>
      </c>
      <c r="B219" s="42">
        <f>IFERROR(AVERAGE(Data!B224), "  ")</f>
        <v>465</v>
      </c>
      <c r="C219" s="42">
        <f>IFERROR(AVERAGE(Data!C224), "  ")</f>
        <v>47</v>
      </c>
      <c r="D219" s="42">
        <f>IFERROR(AVERAGE(Data!D224), "  ")</f>
        <v>110</v>
      </c>
      <c r="E219" s="42">
        <f>IFERROR(AVERAGE(Data!E224), "  ")</f>
        <v>622</v>
      </c>
      <c r="F219" s="42">
        <f>IFERROR(AVERAGE(Data!F224), "  ")</f>
        <v>599</v>
      </c>
      <c r="G219" s="42">
        <f>IFERROR(AVERAGE(Data!G224), "  ")</f>
        <v>-23</v>
      </c>
      <c r="H219" s="44">
        <f>IFERROR(AVERAGE(Data!H224), "  ")</f>
        <v>-4.1599999999999998E-2</v>
      </c>
      <c r="I219" s="44">
        <f>IFERROR(AVERAGE(Data!I224), "  ")</f>
        <v>-3.8639876352395672E-2</v>
      </c>
      <c r="J219" s="42">
        <f>IFERROR(AVERAGE(Data!J224), "  ")</f>
        <v>-25</v>
      </c>
      <c r="K219" s="44">
        <f>IFERROR(AVERAGE(Data!K224), "  ")</f>
        <v>-8.2695252679938741E-2</v>
      </c>
      <c r="L219" s="45">
        <f>IFERROR(AVERAGE(Data!L224), "  ")</f>
        <v>645</v>
      </c>
    </row>
    <row r="220" spans="1:12" x14ac:dyDescent="0.2">
      <c r="A220" s="43">
        <f>Data!A225</f>
        <v>40166</v>
      </c>
      <c r="B220" s="42">
        <f>IFERROR(AVERAGE(Data!B225), "  ")</f>
        <v>386</v>
      </c>
      <c r="C220" s="42">
        <f>IFERROR(AVERAGE(Data!C225), "  ")</f>
        <v>41</v>
      </c>
      <c r="D220" s="42">
        <f>IFERROR(AVERAGE(Data!D225), "  ")</f>
        <v>114</v>
      </c>
      <c r="E220" s="42">
        <f>IFERROR(AVERAGE(Data!E225), "  ")</f>
        <v>541</v>
      </c>
      <c r="F220" s="42">
        <f>IFERROR(AVERAGE(Data!F225), "  ")</f>
        <v>466</v>
      </c>
      <c r="G220" s="42">
        <f>IFERROR(AVERAGE(Data!G225), "  ")</f>
        <v>-75</v>
      </c>
      <c r="H220" s="44">
        <f>IFERROR(AVERAGE(Data!H225), "  ")</f>
        <v>-0.22203672787979967</v>
      </c>
      <c r="I220" s="44">
        <f>IFERROR(AVERAGE(Data!I225), "  ")</f>
        <v>-0.13022508038585209</v>
      </c>
      <c r="J220" s="42">
        <f>IFERROR(AVERAGE(Data!J225), "  ")</f>
        <v>-81</v>
      </c>
      <c r="K220" s="44">
        <f>IFERROR(AVERAGE(Data!K225), "  ")</f>
        <v>-0.22975206611570248</v>
      </c>
      <c r="L220" s="45">
        <f>IFERROR(AVERAGE(Data!L225), "  ")</f>
        <v>617.66666666666663</v>
      </c>
    </row>
    <row r="221" spans="1:12" x14ac:dyDescent="0.2">
      <c r="A221" s="43">
        <f>Data!A226</f>
        <v>40173</v>
      </c>
      <c r="B221" s="42">
        <f>IFERROR(AVERAGE(Data!B226), "  ")</f>
        <v>254</v>
      </c>
      <c r="C221" s="42">
        <f>IFERROR(AVERAGE(Data!C226), "  ")</f>
        <v>23</v>
      </c>
      <c r="D221" s="42">
        <f>IFERROR(AVERAGE(Data!D226), "  ")</f>
        <v>98</v>
      </c>
      <c r="E221" s="42">
        <f>IFERROR(AVERAGE(Data!E226), "  ")</f>
        <v>375</v>
      </c>
      <c r="F221" s="42">
        <f>IFERROR(AVERAGE(Data!F226), "  ")</f>
        <v>647</v>
      </c>
      <c r="G221" s="42">
        <f>IFERROR(AVERAGE(Data!G226), "  ")</f>
        <v>272</v>
      </c>
      <c r="H221" s="44">
        <f>IFERROR(AVERAGE(Data!H226), "  ")</f>
        <v>0.388412017167382</v>
      </c>
      <c r="I221" s="44">
        <f>IFERROR(AVERAGE(Data!I226), "  ")</f>
        <v>-0.30683918669131238</v>
      </c>
      <c r="J221" s="42">
        <f>IFERROR(AVERAGE(Data!J226), "  ")</f>
        <v>-166</v>
      </c>
      <c r="K221" s="44">
        <f>IFERROR(AVERAGE(Data!K226), "  ")</f>
        <v>6.0655737704918035E-2</v>
      </c>
      <c r="L221" s="45">
        <f>IFERROR(AVERAGE(Data!L226), "  ")</f>
        <v>578.66666666666663</v>
      </c>
    </row>
    <row r="222" spans="1:12" x14ac:dyDescent="0.2">
      <c r="A222" s="43">
        <f>Data!A227</f>
        <v>40180</v>
      </c>
      <c r="B222" s="42">
        <f>IFERROR(AVERAGE(Data!B227), "  ")</f>
        <v>110</v>
      </c>
      <c r="C222" s="42">
        <f>IFERROR(AVERAGE(Data!C227), "  ")</f>
        <v>49</v>
      </c>
      <c r="D222" s="42">
        <f>IFERROR(AVERAGE(Data!D227), "  ")</f>
        <v>48</v>
      </c>
      <c r="E222" s="42">
        <f>IFERROR(AVERAGE(Data!E227), "  ")</f>
        <v>207</v>
      </c>
      <c r="F222" s="42">
        <f>IFERROR(AVERAGE(Data!F227), "  ")</f>
        <v>770</v>
      </c>
      <c r="G222" s="42">
        <f>IFERROR(AVERAGE(Data!G227), "  ")</f>
        <v>563</v>
      </c>
      <c r="H222" s="44">
        <f>IFERROR(AVERAGE(Data!H227), "  ")</f>
        <v>0.1901081916537867</v>
      </c>
      <c r="I222" s="44">
        <f>IFERROR(AVERAGE(Data!I227), "  ")</f>
        <v>-0.44800000000000001</v>
      </c>
      <c r="J222" s="42">
        <f>IFERROR(AVERAGE(Data!J227), "  ")</f>
        <v>-168</v>
      </c>
      <c r="K222" s="44">
        <f>IFERROR(AVERAGE(Data!K227), "  ")</f>
        <v>0.36524822695035464</v>
      </c>
      <c r="L222" s="45">
        <f>IFERROR(AVERAGE(Data!L227), "  ")</f>
        <v>597.33333333333337</v>
      </c>
    </row>
    <row r="223" spans="1:12" x14ac:dyDescent="0.2">
      <c r="A223" s="43">
        <f>Data!A228</f>
        <v>40187</v>
      </c>
      <c r="B223" s="42">
        <f>IFERROR(AVERAGE(Data!B228), "  ")</f>
        <v>88</v>
      </c>
      <c r="C223" s="42">
        <f>IFERROR(AVERAGE(Data!C228), "  ")</f>
        <v>28</v>
      </c>
      <c r="D223" s="42">
        <f>IFERROR(AVERAGE(Data!D228), "  ")</f>
        <v>69</v>
      </c>
      <c r="E223" s="42">
        <f>IFERROR(AVERAGE(Data!E228), "  ")</f>
        <v>185</v>
      </c>
      <c r="F223" s="42">
        <f>IFERROR(AVERAGE(Data!F228), "  ")</f>
        <v>800</v>
      </c>
      <c r="G223" s="42">
        <f>IFERROR(AVERAGE(Data!G228), "  ")</f>
        <v>615</v>
      </c>
      <c r="H223" s="44">
        <f>IFERROR(AVERAGE(Data!H228), "  ")</f>
        <v>3.896103896103896E-2</v>
      </c>
      <c r="I223" s="44">
        <f>IFERROR(AVERAGE(Data!I228), "  ")</f>
        <v>-0.10628019323671498</v>
      </c>
      <c r="J223" s="42">
        <f>IFERROR(AVERAGE(Data!J228), "  ")</f>
        <v>-22</v>
      </c>
      <c r="K223" s="44">
        <f>IFERROR(AVERAGE(Data!K228), "  ")</f>
        <v>0.40845070422535212</v>
      </c>
      <c r="L223" s="45">
        <f>IFERROR(AVERAGE(Data!L228), "  ")</f>
        <v>697</v>
      </c>
    </row>
    <row r="224" spans="1:12" x14ac:dyDescent="0.2">
      <c r="A224" s="43">
        <f>Data!A229</f>
        <v>40194</v>
      </c>
      <c r="B224" s="42">
        <f>IFERROR(AVERAGE(Data!B229), "  ")</f>
        <v>82</v>
      </c>
      <c r="C224" s="42">
        <f>IFERROR(AVERAGE(Data!C229), "  ")</f>
        <v>32</v>
      </c>
      <c r="D224" s="42">
        <f>IFERROR(AVERAGE(Data!D229), "  ")</f>
        <v>173</v>
      </c>
      <c r="E224" s="42">
        <f>IFERROR(AVERAGE(Data!E229), "  ")</f>
        <v>287</v>
      </c>
      <c r="F224" s="42">
        <f>IFERROR(AVERAGE(Data!F229), "  ")</f>
        <v>770</v>
      </c>
      <c r="G224" s="42">
        <f>IFERROR(AVERAGE(Data!G229), "  ")</f>
        <v>483</v>
      </c>
      <c r="H224" s="44">
        <f>IFERROR(AVERAGE(Data!H229), "  ")</f>
        <v>-3.7499999999999999E-2</v>
      </c>
      <c r="I224" s="44">
        <f>IFERROR(AVERAGE(Data!I229), "  ")</f>
        <v>0.55135135135135138</v>
      </c>
      <c r="J224" s="42">
        <f>IFERROR(AVERAGE(Data!J229), "  ")</f>
        <v>102</v>
      </c>
      <c r="K224" s="44">
        <f>IFERROR(AVERAGE(Data!K229), "  ")</f>
        <v>0.13569321533923304</v>
      </c>
      <c r="L224" s="45">
        <f>IFERROR(AVERAGE(Data!L229), "  ")</f>
        <v>677.33333333333337</v>
      </c>
    </row>
    <row r="225" spans="1:12" x14ac:dyDescent="0.2">
      <c r="A225" s="43">
        <f>Data!A230</f>
        <v>40201</v>
      </c>
      <c r="B225" s="42">
        <f>IFERROR(AVERAGE(Data!B230), "  ")</f>
        <v>209</v>
      </c>
      <c r="C225" s="42">
        <f>IFERROR(AVERAGE(Data!C230), "  ")</f>
        <v>26</v>
      </c>
      <c r="D225" s="42">
        <f>IFERROR(AVERAGE(Data!D230), "  ")</f>
        <v>170</v>
      </c>
      <c r="E225" s="42">
        <f>IFERROR(AVERAGE(Data!E230), "  ")</f>
        <v>405</v>
      </c>
      <c r="F225" s="42">
        <f>IFERROR(AVERAGE(Data!F230), "  ")</f>
        <v>671</v>
      </c>
      <c r="G225" s="42">
        <f>IFERROR(AVERAGE(Data!G230), "  ")</f>
        <v>266</v>
      </c>
      <c r="H225" s="44">
        <f>IFERROR(AVERAGE(Data!H230), "  ")</f>
        <v>-0.12857142857142856</v>
      </c>
      <c r="I225" s="44">
        <f>IFERROR(AVERAGE(Data!I230), "  ")</f>
        <v>0.41114982578397213</v>
      </c>
      <c r="J225" s="42">
        <f>IFERROR(AVERAGE(Data!J230), "  ")</f>
        <v>118</v>
      </c>
      <c r="K225" s="44">
        <f>IFERROR(AVERAGE(Data!K230), "  ")</f>
        <v>-3.3141210374639768E-2</v>
      </c>
      <c r="L225" s="45">
        <f>IFERROR(AVERAGE(Data!L230), "  ")</f>
        <v>681</v>
      </c>
    </row>
    <row r="226" spans="1:12" x14ac:dyDescent="0.2">
      <c r="A226" s="43">
        <f>Data!A231</f>
        <v>40208</v>
      </c>
      <c r="B226" s="42">
        <f>IFERROR(AVERAGE(Data!B231), "  ")</f>
        <v>202</v>
      </c>
      <c r="C226" s="42">
        <f>IFERROR(AVERAGE(Data!C231), "  ")</f>
        <v>30</v>
      </c>
      <c r="D226" s="42">
        <f>IFERROR(AVERAGE(Data!D231), "  ")</f>
        <v>171</v>
      </c>
      <c r="E226" s="42">
        <f>IFERROR(AVERAGE(Data!E231), "  ")</f>
        <v>403</v>
      </c>
      <c r="F226" s="42">
        <f>IFERROR(AVERAGE(Data!F231), "  ")</f>
        <v>747</v>
      </c>
      <c r="G226" s="42">
        <f>IFERROR(AVERAGE(Data!G231), "  ")</f>
        <v>344</v>
      </c>
      <c r="H226" s="44">
        <f>IFERROR(AVERAGE(Data!H231), "  ")</f>
        <v>0.11326378539493294</v>
      </c>
      <c r="I226" s="44">
        <f>IFERROR(AVERAGE(Data!I231), "  ")</f>
        <v>-4.9382716049382715E-3</v>
      </c>
      <c r="J226" s="42">
        <f>IFERROR(AVERAGE(Data!J231), "  ")</f>
        <v>-2</v>
      </c>
      <c r="K226" s="44">
        <f>IFERROR(AVERAGE(Data!K231), "  ")</f>
        <v>0.17452830188679244</v>
      </c>
      <c r="L226" s="45">
        <f>IFERROR(AVERAGE(Data!L231), "  ")</f>
        <v>698.33333333333337</v>
      </c>
    </row>
    <row r="227" spans="1:12" x14ac:dyDescent="0.2">
      <c r="A227" s="43">
        <f>Data!A232</f>
        <v>40215</v>
      </c>
      <c r="B227" s="42">
        <f>IFERROR(AVERAGE(Data!B232), "  ")</f>
        <v>200</v>
      </c>
      <c r="C227" s="42">
        <f>IFERROR(AVERAGE(Data!C232), "  ")</f>
        <v>51</v>
      </c>
      <c r="D227" s="42">
        <f>IFERROR(AVERAGE(Data!D232), "  ")</f>
        <v>190</v>
      </c>
      <c r="E227" s="42">
        <f>IFERROR(AVERAGE(Data!E232), "  ")</f>
        <v>441</v>
      </c>
      <c r="F227" s="42">
        <f>IFERROR(AVERAGE(Data!F232), "  ")</f>
        <v>658</v>
      </c>
      <c r="G227" s="42">
        <f>IFERROR(AVERAGE(Data!G232), "  ")</f>
        <v>217</v>
      </c>
      <c r="H227" s="44">
        <f>IFERROR(AVERAGE(Data!H232), "  ")</f>
        <v>-0.11914323962516733</v>
      </c>
      <c r="I227" s="44">
        <f>IFERROR(AVERAGE(Data!I232), "  ")</f>
        <v>9.4292803970223327E-2</v>
      </c>
      <c r="J227" s="42">
        <f>IFERROR(AVERAGE(Data!J232), "  ")</f>
        <v>38</v>
      </c>
      <c r="K227" s="44">
        <f>IFERROR(AVERAGE(Data!K232), "  ")</f>
        <v>-4.2212518195050945E-2</v>
      </c>
      <c r="L227" s="45">
        <f>IFERROR(AVERAGE(Data!L232), "  ")</f>
        <v>731.66666666666663</v>
      </c>
    </row>
    <row r="228" spans="1:12" x14ac:dyDescent="0.2">
      <c r="A228" s="43">
        <f>Data!A233</f>
        <v>40222</v>
      </c>
      <c r="B228" s="42">
        <f>IFERROR(AVERAGE(Data!B233), "  ")</f>
        <v>216</v>
      </c>
      <c r="C228" s="42">
        <f>IFERROR(AVERAGE(Data!C233), "  ")</f>
        <v>41</v>
      </c>
      <c r="D228" s="42">
        <f>IFERROR(AVERAGE(Data!D233), "  ")</f>
        <v>161</v>
      </c>
      <c r="E228" s="42">
        <f>IFERROR(AVERAGE(Data!E233), "  ")</f>
        <v>418</v>
      </c>
      <c r="F228" s="42">
        <f>IFERROR(AVERAGE(Data!F233), "  ")</f>
        <v>598</v>
      </c>
      <c r="G228" s="42">
        <f>IFERROR(AVERAGE(Data!G233), "  ")</f>
        <v>180</v>
      </c>
      <c r="H228" s="44">
        <f>IFERROR(AVERAGE(Data!H233), "  ")</f>
        <v>-9.1185410334346503E-2</v>
      </c>
      <c r="I228" s="44">
        <f>IFERROR(AVERAGE(Data!I233), "  ")</f>
        <v>-5.2154195011337869E-2</v>
      </c>
      <c r="J228" s="42">
        <f>IFERROR(AVERAGE(Data!J233), "  ")</f>
        <v>-23</v>
      </c>
      <c r="K228" s="44">
        <f>IFERROR(AVERAGE(Data!K233), "  ")</f>
        <v>-7.4303405572755415E-2</v>
      </c>
      <c r="L228" s="45">
        <f>IFERROR(AVERAGE(Data!L233), "  ")</f>
        <v>774.33333333333337</v>
      </c>
    </row>
    <row r="229" spans="1:12" x14ac:dyDescent="0.2">
      <c r="A229" s="43">
        <f>Data!A234</f>
        <v>40229</v>
      </c>
      <c r="B229" s="42">
        <f>IFERROR(AVERAGE(Data!B234), "  ")</f>
        <v>163</v>
      </c>
      <c r="C229" s="42">
        <f>IFERROR(AVERAGE(Data!C234), "  ")</f>
        <v>35</v>
      </c>
      <c r="D229" s="42">
        <f>IFERROR(AVERAGE(Data!D234), "  ")</f>
        <v>147</v>
      </c>
      <c r="E229" s="42">
        <f>IFERROR(AVERAGE(Data!E234), "  ")</f>
        <v>345</v>
      </c>
      <c r="F229" s="42">
        <f>IFERROR(AVERAGE(Data!F234), "  ")</f>
        <v>708</v>
      </c>
      <c r="G229" s="42">
        <f>IFERROR(AVERAGE(Data!G234), "  ")</f>
        <v>363</v>
      </c>
      <c r="H229" s="44">
        <f>IFERROR(AVERAGE(Data!H234), "  ")</f>
        <v>0.18394648829431437</v>
      </c>
      <c r="I229" s="44">
        <f>IFERROR(AVERAGE(Data!I234), "  ")</f>
        <v>-0.17464114832535885</v>
      </c>
      <c r="J229" s="42">
        <f>IFERROR(AVERAGE(Data!J234), "  ")</f>
        <v>-73</v>
      </c>
      <c r="K229" s="44">
        <f>IFERROR(AVERAGE(Data!K234), "  ")</f>
        <v>0.26203208556149732</v>
      </c>
      <c r="L229" s="45">
        <f>IFERROR(AVERAGE(Data!L234), "  ")</f>
        <v>647</v>
      </c>
    </row>
    <row r="230" spans="1:12" x14ac:dyDescent="0.2">
      <c r="A230" s="43">
        <f>Data!A235</f>
        <v>40236</v>
      </c>
      <c r="B230" s="42">
        <f>IFERROR(AVERAGE(Data!B235), "  ")</f>
        <v>239</v>
      </c>
      <c r="C230" s="42">
        <f>IFERROR(AVERAGE(Data!C235), "  ")</f>
        <v>31</v>
      </c>
      <c r="D230" s="42">
        <f>IFERROR(AVERAGE(Data!D235), "  ")</f>
        <v>101</v>
      </c>
      <c r="E230" s="42">
        <f>IFERROR(AVERAGE(Data!E235), "  ")</f>
        <v>371</v>
      </c>
      <c r="F230" s="42">
        <f>IFERROR(AVERAGE(Data!F235), "  ")</f>
        <v>759</v>
      </c>
      <c r="G230" s="42">
        <f>IFERROR(AVERAGE(Data!G235), "  ")</f>
        <v>388</v>
      </c>
      <c r="H230" s="44">
        <f>IFERROR(AVERAGE(Data!H235), "  ")</f>
        <v>7.2033898305084748E-2</v>
      </c>
      <c r="I230" s="44">
        <f>IFERROR(AVERAGE(Data!I235), "  ")</f>
        <v>7.5362318840579715E-2</v>
      </c>
      <c r="J230" s="42">
        <f>IFERROR(AVERAGE(Data!J235), "  ")</f>
        <v>26</v>
      </c>
      <c r="K230" s="44">
        <f>IFERROR(AVERAGE(Data!K235), "  ")</f>
        <v>0.49704142011834318</v>
      </c>
      <c r="L230" s="45">
        <f>IFERROR(AVERAGE(Data!L235), "  ")</f>
        <v>622.66666666666663</v>
      </c>
    </row>
    <row r="231" spans="1:12" x14ac:dyDescent="0.2">
      <c r="A231" s="43">
        <f>Data!A236</f>
        <v>40243</v>
      </c>
      <c r="B231" s="42">
        <f>IFERROR(AVERAGE(Data!B236), "  ")</f>
        <v>336</v>
      </c>
      <c r="C231" s="42">
        <f>IFERROR(AVERAGE(Data!C236), "  ")</f>
        <v>36</v>
      </c>
      <c r="D231" s="42">
        <f>IFERROR(AVERAGE(Data!D236), "  ")</f>
        <v>108</v>
      </c>
      <c r="E231" s="42">
        <f>IFERROR(AVERAGE(Data!E236), "  ")</f>
        <v>480</v>
      </c>
      <c r="F231" s="42">
        <f>IFERROR(AVERAGE(Data!F236), "  ")</f>
        <v>577</v>
      </c>
      <c r="G231" s="42">
        <f>IFERROR(AVERAGE(Data!G236), "  ")</f>
        <v>97</v>
      </c>
      <c r="H231" s="44">
        <f>IFERROR(AVERAGE(Data!H236), "  ")</f>
        <v>-0.23978919631093545</v>
      </c>
      <c r="I231" s="44">
        <f>IFERROR(AVERAGE(Data!I236), "  ")</f>
        <v>0.29380053908355797</v>
      </c>
      <c r="J231" s="42">
        <f>IFERROR(AVERAGE(Data!J236), "  ")</f>
        <v>109</v>
      </c>
      <c r="K231" s="44">
        <f>IFERROR(AVERAGE(Data!K236), "  ")</f>
        <v>-1.3675213675213675E-2</v>
      </c>
      <c r="L231" s="45">
        <f>IFERROR(AVERAGE(Data!L236), "  ")</f>
        <v>649.33333333333337</v>
      </c>
    </row>
    <row r="232" spans="1:12" x14ac:dyDescent="0.2">
      <c r="A232" s="43">
        <f>Data!A237</f>
        <v>40250</v>
      </c>
      <c r="B232" s="42">
        <f>IFERROR(AVERAGE(Data!B237), "  ")</f>
        <v>296</v>
      </c>
      <c r="C232" s="42">
        <f>IFERROR(AVERAGE(Data!C237), "  ")</f>
        <v>31</v>
      </c>
      <c r="D232" s="42">
        <f>IFERROR(AVERAGE(Data!D237), "  ")</f>
        <v>218</v>
      </c>
      <c r="E232" s="42">
        <f>IFERROR(AVERAGE(Data!E237), "  ")</f>
        <v>545</v>
      </c>
      <c r="F232" s="42">
        <f>IFERROR(AVERAGE(Data!F237), "  ")</f>
        <v>583</v>
      </c>
      <c r="G232" s="42">
        <f>IFERROR(AVERAGE(Data!G237), "  ")</f>
        <v>38</v>
      </c>
      <c r="H232" s="44">
        <f>IFERROR(AVERAGE(Data!H237), "  ")</f>
        <v>1.0398613518197574E-2</v>
      </c>
      <c r="I232" s="44">
        <f>IFERROR(AVERAGE(Data!I237), "  ")</f>
        <v>0.13541666666666666</v>
      </c>
      <c r="J232" s="42">
        <f>IFERROR(AVERAGE(Data!J237), "  ")</f>
        <v>65</v>
      </c>
      <c r="K232" s="44">
        <f>IFERROR(AVERAGE(Data!K237), "  ")</f>
        <v>3.5523978685612786E-2</v>
      </c>
      <c r="L232" s="45">
        <f>IFERROR(AVERAGE(Data!L237), "  ")</f>
        <v>598.33333333333337</v>
      </c>
    </row>
    <row r="233" spans="1:12" x14ac:dyDescent="0.2">
      <c r="A233" s="43">
        <f>Data!A238</f>
        <v>40257</v>
      </c>
      <c r="B233" s="42">
        <f>IFERROR(AVERAGE(Data!B238), "  ")</f>
        <v>122</v>
      </c>
      <c r="C233" s="42">
        <f>IFERROR(AVERAGE(Data!C238), "  ")</f>
        <v>23</v>
      </c>
      <c r="D233" s="42">
        <f>IFERROR(AVERAGE(Data!D238), "  ")</f>
        <v>148</v>
      </c>
      <c r="E233" s="42">
        <f>IFERROR(AVERAGE(Data!E238), "  ")</f>
        <v>293</v>
      </c>
      <c r="F233" s="42">
        <f>IFERROR(AVERAGE(Data!F238), "  ")</f>
        <v>725</v>
      </c>
      <c r="G233" s="42">
        <f>IFERROR(AVERAGE(Data!G238), "  ")</f>
        <v>432</v>
      </c>
      <c r="H233" s="44">
        <f>IFERROR(AVERAGE(Data!H238), "  ")</f>
        <v>0.24356775300171526</v>
      </c>
      <c r="I233" s="44">
        <f>IFERROR(AVERAGE(Data!I238), "  ")</f>
        <v>-0.46238532110091746</v>
      </c>
      <c r="J233" s="42">
        <f>IFERROR(AVERAGE(Data!J238), "  ")</f>
        <v>-252</v>
      </c>
      <c r="K233" s="44">
        <f>IFERROR(AVERAGE(Data!K238), "  ")</f>
        <v>0.25649913344887348</v>
      </c>
      <c r="L233" s="45">
        <f>IFERROR(AVERAGE(Data!L238), "  ")</f>
        <v>572.66666666666663</v>
      </c>
    </row>
    <row r="234" spans="1:12" x14ac:dyDescent="0.2">
      <c r="A234" s="43">
        <f>Data!A239</f>
        <v>40264</v>
      </c>
      <c r="B234" s="42">
        <f>IFERROR(AVERAGE(Data!B239), "  ")</f>
        <v>150</v>
      </c>
      <c r="C234" s="42">
        <f>IFERROR(AVERAGE(Data!C239), "  ")</f>
        <v>33</v>
      </c>
      <c r="D234" s="42">
        <f>IFERROR(AVERAGE(Data!D239), "  ")</f>
        <v>146</v>
      </c>
      <c r="E234" s="42">
        <f>IFERROR(AVERAGE(Data!E239), "  ")</f>
        <v>329</v>
      </c>
      <c r="F234" s="42">
        <f>IFERROR(AVERAGE(Data!F239), "  ")</f>
        <v>621</v>
      </c>
      <c r="G234" s="42">
        <f>IFERROR(AVERAGE(Data!G239), "  ")</f>
        <v>292</v>
      </c>
      <c r="H234" s="44">
        <f>IFERROR(AVERAGE(Data!H239), "  ")</f>
        <v>-0.14344827586206896</v>
      </c>
      <c r="I234" s="44">
        <f>IFERROR(AVERAGE(Data!I239), "  ")</f>
        <v>0.12286689419795221</v>
      </c>
      <c r="J234" s="42">
        <f>IFERROR(AVERAGE(Data!J239), "  ")</f>
        <v>36</v>
      </c>
      <c r="K234" s="44">
        <f>IFERROR(AVERAGE(Data!K239), "  ")</f>
        <v>-3.1201248049921998E-2</v>
      </c>
      <c r="L234" s="45">
        <f>IFERROR(AVERAGE(Data!L239), "  ")</f>
        <v>540</v>
      </c>
    </row>
    <row r="235" spans="1:12" x14ac:dyDescent="0.2">
      <c r="A235" s="43">
        <f>Data!A240</f>
        <v>40271</v>
      </c>
      <c r="B235" s="42">
        <f>IFERROR(AVERAGE(Data!B240), "  ")</f>
        <v>219</v>
      </c>
      <c r="C235" s="42">
        <f>IFERROR(AVERAGE(Data!C240), "  ")</f>
        <v>28</v>
      </c>
      <c r="D235" s="42">
        <f>IFERROR(AVERAGE(Data!D240), "  ")</f>
        <v>95</v>
      </c>
      <c r="E235" s="42">
        <f>IFERROR(AVERAGE(Data!E240), "  ")</f>
        <v>342</v>
      </c>
      <c r="F235" s="42">
        <f>IFERROR(AVERAGE(Data!F240), "  ")</f>
        <v>425</v>
      </c>
      <c r="G235" s="42">
        <f>IFERROR(AVERAGE(Data!G240), "  ")</f>
        <v>83</v>
      </c>
      <c r="H235" s="44">
        <f>IFERROR(AVERAGE(Data!H240), "  ")</f>
        <v>-0.31561996779388085</v>
      </c>
      <c r="I235" s="44">
        <f>IFERROR(AVERAGE(Data!I240), "  ")</f>
        <v>3.9513677811550151E-2</v>
      </c>
      <c r="J235" s="42">
        <f>IFERROR(AVERAGE(Data!J240), "  ")</f>
        <v>13</v>
      </c>
      <c r="K235" s="44">
        <f>IFERROR(AVERAGE(Data!K240), "  ")</f>
        <v>-0.35897435897435898</v>
      </c>
      <c r="L235" s="45">
        <f>IFERROR(AVERAGE(Data!L240), "  ")</f>
        <v>484</v>
      </c>
    </row>
    <row r="236" spans="1:12" x14ac:dyDescent="0.2">
      <c r="A236" s="43">
        <f>Data!A241</f>
        <v>40278</v>
      </c>
      <c r="B236" s="42">
        <f>IFERROR(AVERAGE(Data!B241), "  ")</f>
        <v>148</v>
      </c>
      <c r="C236" s="42">
        <f>IFERROR(AVERAGE(Data!C241), "  ")</f>
        <v>25</v>
      </c>
      <c r="D236" s="42">
        <f>IFERROR(AVERAGE(Data!D241), "  ")</f>
        <v>117</v>
      </c>
      <c r="E236" s="42">
        <f>IFERROR(AVERAGE(Data!E241), "  ")</f>
        <v>290</v>
      </c>
      <c r="F236" s="42">
        <f>IFERROR(AVERAGE(Data!F241), "  ")</f>
        <v>392</v>
      </c>
      <c r="G236" s="42">
        <f>IFERROR(AVERAGE(Data!G241), "  ")</f>
        <v>102</v>
      </c>
      <c r="H236" s="44">
        <f>IFERROR(AVERAGE(Data!H241), "  ")</f>
        <v>-7.7647058823529416E-2</v>
      </c>
      <c r="I236" s="44">
        <f>IFERROR(AVERAGE(Data!I241), "  ")</f>
        <v>-0.15204678362573099</v>
      </c>
      <c r="J236" s="42">
        <f>IFERROR(AVERAGE(Data!J241), "  ")</f>
        <v>-52</v>
      </c>
      <c r="K236" s="44">
        <f>IFERROR(AVERAGE(Data!K241), "  ")</f>
        <v>-0.40963855421686746</v>
      </c>
      <c r="L236" s="45">
        <f>IFERROR(AVERAGE(Data!L241), "  ")</f>
        <v>504</v>
      </c>
    </row>
    <row r="237" spans="1:12" x14ac:dyDescent="0.2">
      <c r="A237" s="43">
        <f>Data!A242</f>
        <v>40285</v>
      </c>
      <c r="B237" s="42">
        <f>IFERROR(AVERAGE(Data!B242), "  ")</f>
        <v>230</v>
      </c>
      <c r="C237" s="42">
        <f>IFERROR(AVERAGE(Data!C242), "  ")</f>
        <v>11</v>
      </c>
      <c r="D237" s="42">
        <f>IFERROR(AVERAGE(Data!D242), "  ")</f>
        <v>80</v>
      </c>
      <c r="E237" s="42">
        <f>IFERROR(AVERAGE(Data!E242), "  ")</f>
        <v>321</v>
      </c>
      <c r="F237" s="42">
        <f>IFERROR(AVERAGE(Data!F242), "  ")</f>
        <v>461</v>
      </c>
      <c r="G237" s="42">
        <f>IFERROR(AVERAGE(Data!G242), "  ")</f>
        <v>140</v>
      </c>
      <c r="H237" s="44">
        <f>IFERROR(AVERAGE(Data!H242), "  ")</f>
        <v>0.17602040816326531</v>
      </c>
      <c r="I237" s="44">
        <f>IFERROR(AVERAGE(Data!I242), "  ")</f>
        <v>0.10689655172413794</v>
      </c>
      <c r="J237" s="42">
        <f>IFERROR(AVERAGE(Data!J242), "  ")</f>
        <v>31</v>
      </c>
      <c r="K237" s="44">
        <f>IFERROR(AVERAGE(Data!K242), "  ")</f>
        <v>-0.26003210272873195</v>
      </c>
      <c r="L237" s="45">
        <f>IFERROR(AVERAGE(Data!L242), "  ")</f>
        <v>534</v>
      </c>
    </row>
    <row r="238" spans="1:12" x14ac:dyDescent="0.2">
      <c r="A238" s="43">
        <f>Data!A243</f>
        <v>40292</v>
      </c>
      <c r="B238" s="42">
        <f>IFERROR(AVERAGE(Data!B243), "  ")</f>
        <v>319</v>
      </c>
      <c r="C238" s="42">
        <f>IFERROR(AVERAGE(Data!C243), "  ")</f>
        <v>16</v>
      </c>
      <c r="D238" s="42">
        <f>IFERROR(AVERAGE(Data!D243), "  ")</f>
        <v>53</v>
      </c>
      <c r="E238" s="42">
        <f>IFERROR(AVERAGE(Data!E243), "  ")</f>
        <v>388</v>
      </c>
      <c r="F238" s="42">
        <f>IFERROR(AVERAGE(Data!F243), "  ")</f>
        <v>320</v>
      </c>
      <c r="G238" s="42">
        <f>IFERROR(AVERAGE(Data!G243), "  ")</f>
        <v>-68</v>
      </c>
      <c r="H238" s="44">
        <f>IFERROR(AVERAGE(Data!H243), "  ")</f>
        <v>-0.30585683297180044</v>
      </c>
      <c r="I238" s="44">
        <f>IFERROR(AVERAGE(Data!I243), "  ")</f>
        <v>0.2087227414330218</v>
      </c>
      <c r="J238" s="42">
        <f>IFERROR(AVERAGE(Data!J243), "  ")</f>
        <v>67</v>
      </c>
      <c r="K238" s="44">
        <f>IFERROR(AVERAGE(Data!K243), "  ")</f>
        <v>-0.1731266149870801</v>
      </c>
      <c r="L238" s="45">
        <f>IFERROR(AVERAGE(Data!L243), "  ")</f>
        <v>428.33333333333331</v>
      </c>
    </row>
    <row r="239" spans="1:12" x14ac:dyDescent="0.2">
      <c r="A239" s="43">
        <f>Data!A244</f>
        <v>40299</v>
      </c>
      <c r="B239" s="42">
        <f>IFERROR(AVERAGE(Data!B244), "  ")</f>
        <v>260</v>
      </c>
      <c r="C239" s="42">
        <f>IFERROR(AVERAGE(Data!C244), "  ")</f>
        <v>13</v>
      </c>
      <c r="D239" s="42">
        <f>IFERROR(AVERAGE(Data!D244), "  ")</f>
        <v>54</v>
      </c>
      <c r="E239" s="42">
        <f>IFERROR(AVERAGE(Data!E244), "  ")</f>
        <v>327</v>
      </c>
      <c r="F239" s="42">
        <f>IFERROR(AVERAGE(Data!F244), "  ")</f>
        <v>305</v>
      </c>
      <c r="G239" s="42">
        <f>IFERROR(AVERAGE(Data!G244), "  ")</f>
        <v>-22</v>
      </c>
      <c r="H239" s="44">
        <f>IFERROR(AVERAGE(Data!H244), "  ")</f>
        <v>-4.6875E-2</v>
      </c>
      <c r="I239" s="44">
        <f>IFERROR(AVERAGE(Data!I244), "  ")</f>
        <v>-0.15721649484536082</v>
      </c>
      <c r="J239" s="42">
        <f>IFERROR(AVERAGE(Data!J244), "  ")</f>
        <v>-61</v>
      </c>
      <c r="K239" s="44">
        <f>IFERROR(AVERAGE(Data!K244), "  ")</f>
        <v>-0.47322970639032813</v>
      </c>
      <c r="L239" s="45">
        <f>IFERROR(AVERAGE(Data!L244), "  ")</f>
        <v>495</v>
      </c>
    </row>
    <row r="240" spans="1:12" x14ac:dyDescent="0.2">
      <c r="A240" s="43">
        <f>Data!A245</f>
        <v>40306</v>
      </c>
      <c r="B240" s="42">
        <f>IFERROR(AVERAGE(Data!B245), "  ")</f>
        <v>441</v>
      </c>
      <c r="C240" s="42">
        <f>IFERROR(AVERAGE(Data!C245), "  ")</f>
        <v>19</v>
      </c>
      <c r="D240" s="42">
        <f>IFERROR(AVERAGE(Data!D245), "  ")</f>
        <v>95</v>
      </c>
      <c r="E240" s="42">
        <f>IFERROR(AVERAGE(Data!E245), "  ")</f>
        <v>555</v>
      </c>
      <c r="F240" s="42">
        <f>IFERROR(AVERAGE(Data!F245), "  ")</f>
        <v>469</v>
      </c>
      <c r="G240" s="42">
        <f>IFERROR(AVERAGE(Data!G245), "  ")</f>
        <v>-86</v>
      </c>
      <c r="H240" s="44">
        <f>IFERROR(AVERAGE(Data!H245), "  ")</f>
        <v>0.53770491803278686</v>
      </c>
      <c r="I240" s="44">
        <f>IFERROR(AVERAGE(Data!I245), "  ")</f>
        <v>0.69724770642201839</v>
      </c>
      <c r="J240" s="42">
        <f>IFERROR(AVERAGE(Data!J245), "  ")</f>
        <v>228</v>
      </c>
      <c r="K240" s="44">
        <f>IFERROR(AVERAGE(Data!K245), "  ")</f>
        <v>-0.24110032362459546</v>
      </c>
      <c r="L240" s="45">
        <f>IFERROR(AVERAGE(Data!L245), "  ")</f>
        <v>431</v>
      </c>
    </row>
    <row r="241" spans="1:12" x14ac:dyDescent="0.2">
      <c r="A241" s="43">
        <f>Data!A246</f>
        <v>40313</v>
      </c>
      <c r="B241" s="42">
        <f>IFERROR(AVERAGE(Data!B246), "  ")</f>
        <v>445</v>
      </c>
      <c r="C241" s="42">
        <f>IFERROR(AVERAGE(Data!C246), "  ")</f>
        <v>16</v>
      </c>
      <c r="D241" s="42">
        <f>IFERROR(AVERAGE(Data!D246), "  ")</f>
        <v>67</v>
      </c>
      <c r="E241" s="42">
        <f>IFERROR(AVERAGE(Data!E246), "  ")</f>
        <v>528</v>
      </c>
      <c r="F241" s="42">
        <f>IFERROR(AVERAGE(Data!F246), "  ")</f>
        <v>523</v>
      </c>
      <c r="G241" s="42">
        <f>IFERROR(AVERAGE(Data!G246), "  ")</f>
        <v>-5</v>
      </c>
      <c r="H241" s="44">
        <f>IFERROR(AVERAGE(Data!H246), "  ")</f>
        <v>0.11513859275053305</v>
      </c>
      <c r="I241" s="44">
        <f>IFERROR(AVERAGE(Data!I246), "  ")</f>
        <v>-4.8648648648648651E-2</v>
      </c>
      <c r="J241" s="42">
        <f>IFERROR(AVERAGE(Data!J246), "  ")</f>
        <v>-27</v>
      </c>
      <c r="K241" s="44">
        <f>IFERROR(AVERAGE(Data!K246), "  ")</f>
        <v>-0.10902896081771721</v>
      </c>
      <c r="L241" s="45">
        <f>IFERROR(AVERAGE(Data!L246), "  ")</f>
        <v>409</v>
      </c>
    </row>
    <row r="242" spans="1:12" x14ac:dyDescent="0.2">
      <c r="A242" s="43">
        <f>Data!A247</f>
        <v>40320</v>
      </c>
      <c r="B242" s="42">
        <f>IFERROR(AVERAGE(Data!B247), "  ")</f>
        <v>407</v>
      </c>
      <c r="C242" s="42">
        <f>IFERROR(AVERAGE(Data!C247), "  ")</f>
        <v>21</v>
      </c>
      <c r="D242" s="42">
        <f>IFERROR(AVERAGE(Data!D247), "  ")</f>
        <v>54</v>
      </c>
      <c r="E242" s="42">
        <f>IFERROR(AVERAGE(Data!E247), "  ")</f>
        <v>482</v>
      </c>
      <c r="F242" s="42">
        <f>IFERROR(AVERAGE(Data!F247), "  ")</f>
        <v>513</v>
      </c>
      <c r="G242" s="42">
        <f>IFERROR(AVERAGE(Data!G247), "  ")</f>
        <v>31</v>
      </c>
      <c r="H242" s="44">
        <f>IFERROR(AVERAGE(Data!H247), "  ")</f>
        <v>-1.9120458891013385E-2</v>
      </c>
      <c r="I242" s="44">
        <f>IFERROR(AVERAGE(Data!I247), "  ")</f>
        <v>-8.7121212121212127E-2</v>
      </c>
      <c r="J242" s="42">
        <f>IFERROR(AVERAGE(Data!J247), "  ")</f>
        <v>-46</v>
      </c>
      <c r="K242" s="44">
        <f>IFERROR(AVERAGE(Data!K247), "  ")</f>
        <v>6.8750000000000006E-2</v>
      </c>
      <c r="L242" s="45">
        <f>IFERROR(AVERAGE(Data!L247), "  ")</f>
        <v>456.66666666666669</v>
      </c>
    </row>
    <row r="243" spans="1:12" x14ac:dyDescent="0.2">
      <c r="A243" s="43">
        <f>Data!A248</f>
        <v>40327</v>
      </c>
      <c r="B243" s="42">
        <f>IFERROR(AVERAGE(Data!B248), "  ")</f>
        <v>499</v>
      </c>
      <c r="C243" s="42">
        <f>IFERROR(AVERAGE(Data!C248), "  ")</f>
        <v>17</v>
      </c>
      <c r="D243" s="42">
        <f>IFERROR(AVERAGE(Data!D248), "  ")</f>
        <v>62</v>
      </c>
      <c r="E243" s="42">
        <f>IFERROR(AVERAGE(Data!E248), "  ")</f>
        <v>578</v>
      </c>
      <c r="F243" s="42">
        <f>IFERROR(AVERAGE(Data!F248), "  ")</f>
        <v>504</v>
      </c>
      <c r="G243" s="42">
        <f>IFERROR(AVERAGE(Data!G248), "  ")</f>
        <v>-74</v>
      </c>
      <c r="H243" s="44">
        <f>IFERROR(AVERAGE(Data!H248), "  ")</f>
        <v>-1.7543859649122806E-2</v>
      </c>
      <c r="I243" s="44">
        <f>IFERROR(AVERAGE(Data!I248), "  ")</f>
        <v>0.19917012448132779</v>
      </c>
      <c r="J243" s="42">
        <f>IFERROR(AVERAGE(Data!J248), "  ")</f>
        <v>96</v>
      </c>
      <c r="K243" s="44">
        <f>IFERROR(AVERAGE(Data!K248), "  ")</f>
        <v>-6.839186691312385E-2</v>
      </c>
      <c r="L243" s="45">
        <f>IFERROR(AVERAGE(Data!L248), "  ")</f>
        <v>469</v>
      </c>
    </row>
    <row r="244" spans="1:12" x14ac:dyDescent="0.2">
      <c r="A244" s="43">
        <f>Data!A249</f>
        <v>40334</v>
      </c>
      <c r="B244" s="42">
        <f>IFERROR(AVERAGE(Data!B249), "  ")</f>
        <v>398</v>
      </c>
      <c r="C244" s="42">
        <f>IFERROR(AVERAGE(Data!C249), "  ")</f>
        <v>19</v>
      </c>
      <c r="D244" s="42">
        <f>IFERROR(AVERAGE(Data!D249), "  ")</f>
        <v>85</v>
      </c>
      <c r="E244" s="42">
        <f>IFERROR(AVERAGE(Data!E249), "  ")</f>
        <v>502</v>
      </c>
      <c r="F244" s="42">
        <f>IFERROR(AVERAGE(Data!F249), "  ")</f>
        <v>549</v>
      </c>
      <c r="G244" s="42">
        <f>IFERROR(AVERAGE(Data!G249), "  ")</f>
        <v>47</v>
      </c>
      <c r="H244" s="44">
        <f>IFERROR(AVERAGE(Data!H249), "  ")</f>
        <v>8.9285714285714288E-2</v>
      </c>
      <c r="I244" s="44">
        <f>IFERROR(AVERAGE(Data!I249), "  ")</f>
        <v>-0.13148788927335639</v>
      </c>
      <c r="J244" s="42">
        <f>IFERROR(AVERAGE(Data!J249), "  ")</f>
        <v>-76</v>
      </c>
      <c r="K244" s="44">
        <f>IFERROR(AVERAGE(Data!K249), "  ")</f>
        <v>2.6168224299065422E-2</v>
      </c>
      <c r="L244" s="45">
        <f>IFERROR(AVERAGE(Data!L249), "  ")</f>
        <v>485.33333333333331</v>
      </c>
    </row>
    <row r="245" spans="1:12" x14ac:dyDescent="0.2">
      <c r="A245" s="43">
        <f>Data!A250</f>
        <v>40341</v>
      </c>
      <c r="B245" s="42">
        <f>IFERROR(AVERAGE(Data!B250), "  ")</f>
        <v>448</v>
      </c>
      <c r="C245" s="42">
        <f>IFERROR(AVERAGE(Data!C250), "  ")</f>
        <v>17</v>
      </c>
      <c r="D245" s="42">
        <f>IFERROR(AVERAGE(Data!D250), "  ")</f>
        <v>28</v>
      </c>
      <c r="E245" s="42">
        <f>IFERROR(AVERAGE(Data!E250), "  ")</f>
        <v>493</v>
      </c>
      <c r="F245" s="42">
        <f>IFERROR(AVERAGE(Data!F250), "  ")</f>
        <v>466</v>
      </c>
      <c r="G245" s="42">
        <f>IFERROR(AVERAGE(Data!G250), "  ")</f>
        <v>-27</v>
      </c>
      <c r="H245" s="44">
        <f>IFERROR(AVERAGE(Data!H250), "  ")</f>
        <v>-0.151183970856102</v>
      </c>
      <c r="I245" s="44">
        <f>IFERROR(AVERAGE(Data!I250), "  ")</f>
        <v>-1.7928286852589643E-2</v>
      </c>
      <c r="J245" s="42">
        <f>IFERROR(AVERAGE(Data!J250), "  ")</f>
        <v>-9</v>
      </c>
      <c r="K245" s="44">
        <f>IFERROR(AVERAGE(Data!K250), "  ")</f>
        <v>-0.28746177370030579</v>
      </c>
      <c r="L245" s="45">
        <f>IFERROR(AVERAGE(Data!L250), "  ")</f>
        <v>567</v>
      </c>
    </row>
    <row r="246" spans="1:12" x14ac:dyDescent="0.2">
      <c r="A246" s="43">
        <f>Data!A251</f>
        <v>40348</v>
      </c>
      <c r="B246" s="42">
        <f>IFERROR(AVERAGE(Data!B251), "  ")</f>
        <v>450</v>
      </c>
      <c r="C246" s="42">
        <f>IFERROR(AVERAGE(Data!C251), "  ")</f>
        <v>26</v>
      </c>
      <c r="D246" s="42">
        <f>IFERROR(AVERAGE(Data!D251), "  ")</f>
        <v>48</v>
      </c>
      <c r="E246" s="42">
        <f>IFERROR(AVERAGE(Data!E251), "  ")</f>
        <v>524</v>
      </c>
      <c r="F246" s="42">
        <f>IFERROR(AVERAGE(Data!F251), "  ")</f>
        <v>457</v>
      </c>
      <c r="G246" s="42">
        <f>IFERROR(AVERAGE(Data!G251), "  ")</f>
        <v>-67</v>
      </c>
      <c r="H246" s="44">
        <f>IFERROR(AVERAGE(Data!H251), "  ")</f>
        <v>-1.9313304721030045E-2</v>
      </c>
      <c r="I246" s="44">
        <f>IFERROR(AVERAGE(Data!I251), "  ")</f>
        <v>6.2880324543610547E-2</v>
      </c>
      <c r="J246" s="42">
        <f>IFERROR(AVERAGE(Data!J251), "  ")</f>
        <v>31</v>
      </c>
      <c r="K246" s="44">
        <f>IFERROR(AVERAGE(Data!K251), "  ")</f>
        <v>-0.27229299363057324</v>
      </c>
      <c r="L246" s="45">
        <f>IFERROR(AVERAGE(Data!L251), "  ")</f>
        <v>555.33333333333337</v>
      </c>
    </row>
    <row r="247" spans="1:12" x14ac:dyDescent="0.2">
      <c r="A247" s="43">
        <f>Data!A252</f>
        <v>40355</v>
      </c>
      <c r="B247" s="42">
        <f>IFERROR(AVERAGE(Data!B252), "  ")</f>
        <v>382</v>
      </c>
      <c r="C247" s="42">
        <f>IFERROR(AVERAGE(Data!C252), "  ")</f>
        <v>33</v>
      </c>
      <c r="D247" s="42">
        <f>IFERROR(AVERAGE(Data!D252), "  ")</f>
        <v>27</v>
      </c>
      <c r="E247" s="42">
        <f>IFERROR(AVERAGE(Data!E252), "  ")</f>
        <v>442</v>
      </c>
      <c r="F247" s="42">
        <f>IFERROR(AVERAGE(Data!F252), "  ")</f>
        <v>494</v>
      </c>
      <c r="G247" s="42">
        <f>IFERROR(AVERAGE(Data!G252), "  ")</f>
        <v>52</v>
      </c>
      <c r="H247" s="44">
        <f>IFERROR(AVERAGE(Data!H252), "  ")</f>
        <v>8.0962800875273522E-2</v>
      </c>
      <c r="I247" s="44">
        <f>IFERROR(AVERAGE(Data!I252), "  ")</f>
        <v>-0.15648854961832062</v>
      </c>
      <c r="J247" s="42">
        <f>IFERROR(AVERAGE(Data!J252), "  ")</f>
        <v>-82</v>
      </c>
      <c r="K247" s="44">
        <f>IFERROR(AVERAGE(Data!K252), "  ")</f>
        <v>-0.11469534050179211</v>
      </c>
      <c r="L247" s="45">
        <f>IFERROR(AVERAGE(Data!L252), "  ")</f>
        <v>499.66666666666669</v>
      </c>
    </row>
    <row r="248" spans="1:12" x14ac:dyDescent="0.2">
      <c r="A248" s="43">
        <f>Data!A253</f>
        <v>40362</v>
      </c>
      <c r="B248" s="42">
        <f>IFERROR(AVERAGE(Data!B253), "  ")</f>
        <v>444</v>
      </c>
      <c r="C248" s="42">
        <f>IFERROR(AVERAGE(Data!C253), "  ")</f>
        <v>30</v>
      </c>
      <c r="D248" s="42">
        <f>IFERROR(AVERAGE(Data!D253), "  ")</f>
        <v>36</v>
      </c>
      <c r="E248" s="42">
        <f>IFERROR(AVERAGE(Data!E253), "  ")</f>
        <v>510</v>
      </c>
      <c r="F248" s="42">
        <f>IFERROR(AVERAGE(Data!F253), "  ")</f>
        <v>453</v>
      </c>
      <c r="G248" s="42">
        <f>IFERROR(AVERAGE(Data!G253), "  ")</f>
        <v>-57</v>
      </c>
      <c r="H248" s="44">
        <f>IFERROR(AVERAGE(Data!H253), "  ")</f>
        <v>-8.2995951417004055E-2</v>
      </c>
      <c r="I248" s="44">
        <f>IFERROR(AVERAGE(Data!I253), "  ")</f>
        <v>0.15384615384615385</v>
      </c>
      <c r="J248" s="42">
        <f>IFERROR(AVERAGE(Data!J253), "  ")</f>
        <v>68</v>
      </c>
      <c r="K248" s="44">
        <f>IFERROR(AVERAGE(Data!K253), "  ")</f>
        <v>-0.25493421052631576</v>
      </c>
      <c r="L248" s="45">
        <f>IFERROR(AVERAGE(Data!L253), "  ")</f>
        <v>446.33333333333331</v>
      </c>
    </row>
    <row r="249" spans="1:12" x14ac:dyDescent="0.2">
      <c r="A249" s="43">
        <f>Data!A254</f>
        <v>40369</v>
      </c>
      <c r="B249" s="42">
        <f>IFERROR(AVERAGE(Data!B254), "  ")</f>
        <v>387</v>
      </c>
      <c r="C249" s="42">
        <f>IFERROR(AVERAGE(Data!C254), "  ")</f>
        <v>21</v>
      </c>
      <c r="D249" s="42">
        <f>IFERROR(AVERAGE(Data!D254), "  ")</f>
        <v>34</v>
      </c>
      <c r="E249" s="42">
        <f>IFERROR(AVERAGE(Data!E254), "  ")</f>
        <v>442</v>
      </c>
      <c r="F249" s="42">
        <f>IFERROR(AVERAGE(Data!F254), "  ")</f>
        <v>490</v>
      </c>
      <c r="G249" s="42">
        <f>IFERROR(AVERAGE(Data!G254), "  ")</f>
        <v>48</v>
      </c>
      <c r="H249" s="44">
        <f>IFERROR(AVERAGE(Data!H254), "  ")</f>
        <v>8.1677704194260486E-2</v>
      </c>
      <c r="I249" s="44">
        <f>IFERROR(AVERAGE(Data!I254), "  ")</f>
        <v>-0.13333333333333333</v>
      </c>
      <c r="J249" s="42">
        <f>IFERROR(AVERAGE(Data!J254), "  ")</f>
        <v>-68</v>
      </c>
      <c r="K249" s="44">
        <f>IFERROR(AVERAGE(Data!K254), "  ")</f>
        <v>-0.18333333333333332</v>
      </c>
      <c r="L249" s="45">
        <f>IFERROR(AVERAGE(Data!L254), "  ")</f>
        <v>521.66666666666663</v>
      </c>
    </row>
    <row r="250" spans="1:12" x14ac:dyDescent="0.2">
      <c r="A250" s="43">
        <f>Data!A255</f>
        <v>40376</v>
      </c>
      <c r="B250" s="42">
        <f>IFERROR(AVERAGE(Data!B255), "  ")</f>
        <v>454</v>
      </c>
      <c r="C250" s="42">
        <f>IFERROR(AVERAGE(Data!C255), "  ")</f>
        <v>18</v>
      </c>
      <c r="D250" s="42">
        <f>IFERROR(AVERAGE(Data!D255), "  ")</f>
        <v>39</v>
      </c>
      <c r="E250" s="42">
        <f>IFERROR(AVERAGE(Data!E255), "  ")</f>
        <v>511</v>
      </c>
      <c r="F250" s="42">
        <f>IFERROR(AVERAGE(Data!F255), "  ")</f>
        <v>527</v>
      </c>
      <c r="G250" s="42">
        <f>IFERROR(AVERAGE(Data!G255), "  ")</f>
        <v>16</v>
      </c>
      <c r="H250" s="44">
        <f>IFERROR(AVERAGE(Data!H255), "  ")</f>
        <v>7.5510204081632656E-2</v>
      </c>
      <c r="I250" s="44">
        <f>IFERROR(AVERAGE(Data!I255), "  ")</f>
        <v>0.15610859728506787</v>
      </c>
      <c r="J250" s="42">
        <f>IFERROR(AVERAGE(Data!J255), "  ")</f>
        <v>69</v>
      </c>
      <c r="K250" s="44">
        <f>IFERROR(AVERAGE(Data!K255), "  ")</f>
        <v>-0.11725293132328309</v>
      </c>
      <c r="L250" s="45">
        <f>IFERROR(AVERAGE(Data!L255), "  ")</f>
        <v>485.66666666666669</v>
      </c>
    </row>
    <row r="251" spans="1:12" x14ac:dyDescent="0.2">
      <c r="A251" s="43">
        <f>Data!A256</f>
        <v>40383</v>
      </c>
      <c r="B251" s="42">
        <f>IFERROR(AVERAGE(Data!B256), "  ")</f>
        <v>483</v>
      </c>
      <c r="C251" s="42">
        <f>IFERROR(AVERAGE(Data!C256), "  ")</f>
        <v>12</v>
      </c>
      <c r="D251" s="42">
        <f>IFERROR(AVERAGE(Data!D256), "  ")</f>
        <v>55</v>
      </c>
      <c r="E251" s="42">
        <f>IFERROR(AVERAGE(Data!E256), "  ")</f>
        <v>550</v>
      </c>
      <c r="F251" s="42">
        <f>IFERROR(AVERAGE(Data!F256), "  ")</f>
        <v>410</v>
      </c>
      <c r="G251" s="42">
        <f>IFERROR(AVERAGE(Data!G256), "  ")</f>
        <v>-140</v>
      </c>
      <c r="H251" s="44">
        <f>IFERROR(AVERAGE(Data!H256), "  ")</f>
        <v>-0.22201138519924099</v>
      </c>
      <c r="I251" s="44">
        <f>IFERROR(AVERAGE(Data!I256), "  ")</f>
        <v>7.6320939334637961E-2</v>
      </c>
      <c r="J251" s="42">
        <f>IFERROR(AVERAGE(Data!J256), "  ")</f>
        <v>39</v>
      </c>
      <c r="K251" s="44">
        <f>IFERROR(AVERAGE(Data!K256), "  ")</f>
        <v>-0.39349112426035504</v>
      </c>
      <c r="L251" s="45">
        <f>IFERROR(AVERAGE(Data!L256), "  ")</f>
        <v>532.33333333333337</v>
      </c>
    </row>
    <row r="252" spans="1:12" x14ac:dyDescent="0.2">
      <c r="A252" s="43">
        <f>Data!A257</f>
        <v>40390</v>
      </c>
      <c r="B252" s="42">
        <f>IFERROR(AVERAGE(Data!B257), "  ")</f>
        <v>519</v>
      </c>
      <c r="C252" s="42">
        <f>IFERROR(AVERAGE(Data!C257), "  ")</f>
        <v>28</v>
      </c>
      <c r="D252" s="42">
        <f>IFERROR(AVERAGE(Data!D257), "  ")</f>
        <v>83</v>
      </c>
      <c r="E252" s="42">
        <f>IFERROR(AVERAGE(Data!E257), "  ")</f>
        <v>630</v>
      </c>
      <c r="F252" s="42">
        <f>IFERROR(AVERAGE(Data!F257), "  ")</f>
        <v>364</v>
      </c>
      <c r="G252" s="42">
        <f>IFERROR(AVERAGE(Data!G257), "  ")</f>
        <v>-266</v>
      </c>
      <c r="H252" s="44">
        <f>IFERROR(AVERAGE(Data!H257), "  ")</f>
        <v>-0.11219512195121951</v>
      </c>
      <c r="I252" s="44">
        <f>IFERROR(AVERAGE(Data!I257), "  ")</f>
        <v>0.14545454545454545</v>
      </c>
      <c r="J252" s="42">
        <f>IFERROR(AVERAGE(Data!J257), "  ")</f>
        <v>80</v>
      </c>
      <c r="K252" s="44">
        <f>IFERROR(AVERAGE(Data!K257), "  ")</f>
        <v>-0.24481327800829875</v>
      </c>
      <c r="L252" s="45">
        <f>IFERROR(AVERAGE(Data!L257), "  ")</f>
        <v>488</v>
      </c>
    </row>
    <row r="253" spans="1:12" x14ac:dyDescent="0.2">
      <c r="A253" s="43">
        <f>Data!A258</f>
        <v>40397</v>
      </c>
      <c r="B253" s="42">
        <f>IFERROR(AVERAGE(Data!B258), "  ")</f>
        <v>405</v>
      </c>
      <c r="C253" s="42">
        <f>IFERROR(AVERAGE(Data!C258), "  ")</f>
        <v>23</v>
      </c>
      <c r="D253" s="42">
        <f>IFERROR(AVERAGE(Data!D258), "  ")</f>
        <v>37</v>
      </c>
      <c r="E253" s="42">
        <f>IFERROR(AVERAGE(Data!E258), "  ")</f>
        <v>465</v>
      </c>
      <c r="F253" s="42">
        <f>IFERROR(AVERAGE(Data!F258), "  ")</f>
        <v>455</v>
      </c>
      <c r="G253" s="42">
        <f>IFERROR(AVERAGE(Data!G258), "  ")</f>
        <v>-10</v>
      </c>
      <c r="H253" s="44">
        <f>IFERROR(AVERAGE(Data!H258), "  ")</f>
        <v>0.25</v>
      </c>
      <c r="I253" s="44">
        <f>IFERROR(AVERAGE(Data!I258), "  ")</f>
        <v>-0.26190476190476192</v>
      </c>
      <c r="J253" s="42">
        <f>IFERROR(AVERAGE(Data!J258), "  ")</f>
        <v>-165</v>
      </c>
      <c r="K253" s="44">
        <f>IFERROR(AVERAGE(Data!K258), "  ")</f>
        <v>-0.18018018018018017</v>
      </c>
      <c r="L253" s="45">
        <f>IFERROR(AVERAGE(Data!L258), "  ")</f>
        <v>609</v>
      </c>
    </row>
    <row r="254" spans="1:12" x14ac:dyDescent="0.2">
      <c r="A254" s="43">
        <f>Data!A259</f>
        <v>40404</v>
      </c>
      <c r="B254" s="42">
        <f>IFERROR(AVERAGE(Data!B259), "  ")</f>
        <v>409</v>
      </c>
      <c r="C254" s="42">
        <f>IFERROR(AVERAGE(Data!C259), "  ")</f>
        <v>18</v>
      </c>
      <c r="D254" s="42">
        <f>IFERROR(AVERAGE(Data!D259), "  ")</f>
        <v>19</v>
      </c>
      <c r="E254" s="42">
        <f>IFERROR(AVERAGE(Data!E259), "  ")</f>
        <v>446</v>
      </c>
      <c r="F254" s="42">
        <f>IFERROR(AVERAGE(Data!F259), "  ")</f>
        <v>506</v>
      </c>
      <c r="G254" s="42">
        <f>IFERROR(AVERAGE(Data!G259), "  ")</f>
        <v>60</v>
      </c>
      <c r="H254" s="44">
        <f>IFERROR(AVERAGE(Data!H259), "  ")</f>
        <v>0.11208791208791209</v>
      </c>
      <c r="I254" s="44">
        <f>IFERROR(AVERAGE(Data!I259), "  ")</f>
        <v>-4.0860215053763443E-2</v>
      </c>
      <c r="J254" s="42">
        <f>IFERROR(AVERAGE(Data!J259), "  ")</f>
        <v>-19</v>
      </c>
      <c r="K254" s="44">
        <f>IFERROR(AVERAGE(Data!K259), "  ")</f>
        <v>0.10239651416122005</v>
      </c>
      <c r="L254" s="45">
        <f>IFERROR(AVERAGE(Data!L259), "  ")</f>
        <v>538.66666666666663</v>
      </c>
    </row>
    <row r="255" spans="1:12" x14ac:dyDescent="0.2">
      <c r="A255" s="43">
        <f>Data!A260</f>
        <v>40411</v>
      </c>
      <c r="B255" s="42">
        <f>IFERROR(AVERAGE(Data!B260), "  ")</f>
        <v>218</v>
      </c>
      <c r="C255" s="42">
        <f>IFERROR(AVERAGE(Data!C260), "  ")</f>
        <v>30</v>
      </c>
      <c r="D255" s="42">
        <f>IFERROR(AVERAGE(Data!D260), "  ")</f>
        <v>16</v>
      </c>
      <c r="E255" s="42">
        <f>IFERROR(AVERAGE(Data!E260), "  ")</f>
        <v>264</v>
      </c>
      <c r="F255" s="42">
        <f>IFERROR(AVERAGE(Data!F260), "  ")</f>
        <v>528</v>
      </c>
      <c r="G255" s="42">
        <f>IFERROR(AVERAGE(Data!G260), "  ")</f>
        <v>264</v>
      </c>
      <c r="H255" s="44">
        <f>IFERROR(AVERAGE(Data!H260), "  ")</f>
        <v>4.3478260869565216E-2</v>
      </c>
      <c r="I255" s="44">
        <f>IFERROR(AVERAGE(Data!I260), "  ")</f>
        <v>-0.40807174887892378</v>
      </c>
      <c r="J255" s="42">
        <f>IFERROR(AVERAGE(Data!J260), "  ")</f>
        <v>-182</v>
      </c>
      <c r="K255" s="44">
        <f>IFERROR(AVERAGE(Data!K260), "  ")</f>
        <v>-2.9411764705882353E-2</v>
      </c>
      <c r="L255" s="45">
        <f>IFERROR(AVERAGE(Data!L260), "  ")</f>
        <v>557</v>
      </c>
    </row>
    <row r="256" spans="1:12" x14ac:dyDescent="0.2">
      <c r="A256" s="43">
        <f>Data!A261</f>
        <v>40418</v>
      </c>
      <c r="B256" s="42">
        <f>IFERROR(AVERAGE(Data!B261), "  ")</f>
        <v>188</v>
      </c>
      <c r="C256" s="42">
        <f>IFERROR(AVERAGE(Data!C261), "  ")</f>
        <v>24</v>
      </c>
      <c r="D256" s="42">
        <f>IFERROR(AVERAGE(Data!D261), "  ")</f>
        <v>38</v>
      </c>
      <c r="E256" s="42">
        <f>IFERROR(AVERAGE(Data!E261), "  ")</f>
        <v>250</v>
      </c>
      <c r="F256" s="42">
        <f>IFERROR(AVERAGE(Data!F261), "  ")</f>
        <v>450</v>
      </c>
      <c r="G256" s="42">
        <f>IFERROR(AVERAGE(Data!G261), "  ")</f>
        <v>200</v>
      </c>
      <c r="H256" s="44">
        <f>IFERROR(AVERAGE(Data!H261), "  ")</f>
        <v>-0.14772727272727273</v>
      </c>
      <c r="I256" s="44">
        <f>IFERROR(AVERAGE(Data!I261), "  ")</f>
        <v>-5.3030303030303032E-2</v>
      </c>
      <c r="J256" s="42">
        <f>IFERROR(AVERAGE(Data!J261), "  ")</f>
        <v>-14</v>
      </c>
      <c r="K256" s="44">
        <f>IFERROR(AVERAGE(Data!K261), "  ")</f>
        <v>-0.17279411764705882</v>
      </c>
      <c r="L256" s="45">
        <f>IFERROR(AVERAGE(Data!L261), "  ")</f>
        <v>518</v>
      </c>
    </row>
    <row r="257" spans="1:12" x14ac:dyDescent="0.2">
      <c r="A257" s="43">
        <f>Data!A262</f>
        <v>40425</v>
      </c>
      <c r="B257" s="42">
        <f>IFERROR(AVERAGE(Data!B262), "  ")</f>
        <v>238</v>
      </c>
      <c r="C257" s="42">
        <f>IFERROR(AVERAGE(Data!C262), "  ")</f>
        <v>16</v>
      </c>
      <c r="D257" s="42">
        <f>IFERROR(AVERAGE(Data!D262), "  ")</f>
        <v>66</v>
      </c>
      <c r="E257" s="42">
        <f>IFERROR(AVERAGE(Data!E262), "  ")</f>
        <v>320</v>
      </c>
      <c r="F257" s="42">
        <f>IFERROR(AVERAGE(Data!F262), "  ")</f>
        <v>537</v>
      </c>
      <c r="G257" s="42">
        <f>IFERROR(AVERAGE(Data!G262), "  ")</f>
        <v>217</v>
      </c>
      <c r="H257" s="44">
        <f>IFERROR(AVERAGE(Data!H262), "  ")</f>
        <v>0.19333333333333333</v>
      </c>
      <c r="I257" s="44">
        <f>IFERROR(AVERAGE(Data!I262), "  ")</f>
        <v>0.28000000000000003</v>
      </c>
      <c r="J257" s="42">
        <f>IFERROR(AVERAGE(Data!J262), "  ")</f>
        <v>70</v>
      </c>
      <c r="K257" s="44">
        <f>IFERROR(AVERAGE(Data!K262), "  ")</f>
        <v>-0.11386138613861387</v>
      </c>
      <c r="L257" s="45">
        <f>IFERROR(AVERAGE(Data!L262), "  ")</f>
        <v>440</v>
      </c>
    </row>
    <row r="258" spans="1:12" x14ac:dyDescent="0.2">
      <c r="A258" s="43">
        <f>Data!A263</f>
        <v>40432</v>
      </c>
      <c r="B258" s="42">
        <f>IFERROR(AVERAGE(Data!B263), "  ")</f>
        <v>219</v>
      </c>
      <c r="C258" s="42">
        <f>IFERROR(AVERAGE(Data!C263), "  ")</f>
        <v>26</v>
      </c>
      <c r="D258" s="42">
        <f>IFERROR(AVERAGE(Data!D263), "  ")</f>
        <v>69</v>
      </c>
      <c r="E258" s="42">
        <f>IFERROR(AVERAGE(Data!E263), "  ")</f>
        <v>314</v>
      </c>
      <c r="F258" s="42">
        <f>IFERROR(AVERAGE(Data!F263), "  ")</f>
        <v>428</v>
      </c>
      <c r="G258" s="42">
        <f>IFERROR(AVERAGE(Data!G263), "  ")</f>
        <v>114</v>
      </c>
      <c r="H258" s="44">
        <f>IFERROR(AVERAGE(Data!H263), "  ")</f>
        <v>-0.20297951582867785</v>
      </c>
      <c r="I258" s="44">
        <f>IFERROR(AVERAGE(Data!I263), "  ")</f>
        <v>-1.8749999999999999E-2</v>
      </c>
      <c r="J258" s="42">
        <f>IFERROR(AVERAGE(Data!J263), "  ")</f>
        <v>-6</v>
      </c>
      <c r="K258" s="44">
        <f>IFERROR(AVERAGE(Data!K263), "  ")</f>
        <v>-6.3457330415754923E-2</v>
      </c>
      <c r="L258" s="45">
        <f>IFERROR(AVERAGE(Data!L263), "  ")</f>
        <v>549.33333333333337</v>
      </c>
    </row>
    <row r="259" spans="1:12" x14ac:dyDescent="0.2">
      <c r="A259" s="43">
        <f>Data!A264</f>
        <v>40439</v>
      </c>
      <c r="B259" s="42">
        <f>IFERROR(AVERAGE(Data!B264), "  ")</f>
        <v>156</v>
      </c>
      <c r="C259" s="42">
        <f>IFERROR(AVERAGE(Data!C264), "  ")</f>
        <v>39</v>
      </c>
      <c r="D259" s="42">
        <f>IFERROR(AVERAGE(Data!D264), "  ")</f>
        <v>99</v>
      </c>
      <c r="E259" s="42">
        <f>IFERROR(AVERAGE(Data!E264), "  ")</f>
        <v>294</v>
      </c>
      <c r="F259" s="42">
        <f>IFERROR(AVERAGE(Data!F264), "  ")</f>
        <v>547</v>
      </c>
      <c r="G259" s="42">
        <f>IFERROR(AVERAGE(Data!G264), "  ")</f>
        <v>253</v>
      </c>
      <c r="H259" s="44">
        <f>IFERROR(AVERAGE(Data!H264), "  ")</f>
        <v>0.2780373831775701</v>
      </c>
      <c r="I259" s="44">
        <f>IFERROR(AVERAGE(Data!I264), "  ")</f>
        <v>-6.3694267515923567E-2</v>
      </c>
      <c r="J259" s="42">
        <f>IFERROR(AVERAGE(Data!J264), "  ")</f>
        <v>-20</v>
      </c>
      <c r="K259" s="44">
        <f>IFERROR(AVERAGE(Data!K264), "  ")</f>
        <v>6.4202334630350189E-2</v>
      </c>
      <c r="L259" s="45">
        <f>IFERROR(AVERAGE(Data!L264), "  ")</f>
        <v>610</v>
      </c>
    </row>
    <row r="260" spans="1:12" x14ac:dyDescent="0.2">
      <c r="A260" s="43">
        <f>Data!A265</f>
        <v>40446</v>
      </c>
      <c r="B260" s="42">
        <f>IFERROR(AVERAGE(Data!B265), "  ")</f>
        <v>210</v>
      </c>
      <c r="C260" s="42">
        <f>IFERROR(AVERAGE(Data!C265), "  ")</f>
        <v>24</v>
      </c>
      <c r="D260" s="42">
        <f>IFERROR(AVERAGE(Data!D265), "  ")</f>
        <v>134</v>
      </c>
      <c r="E260" s="42">
        <f>IFERROR(AVERAGE(Data!E265), "  ")</f>
        <v>368</v>
      </c>
      <c r="F260" s="42">
        <f>IFERROR(AVERAGE(Data!F265), "  ")</f>
        <v>627</v>
      </c>
      <c r="G260" s="42">
        <f>IFERROR(AVERAGE(Data!G265), "  ")</f>
        <v>259</v>
      </c>
      <c r="H260" s="44">
        <f>IFERROR(AVERAGE(Data!H265), "  ")</f>
        <v>0.14625228519195613</v>
      </c>
      <c r="I260" s="44">
        <f>IFERROR(AVERAGE(Data!I265), "  ")</f>
        <v>0.25170068027210885</v>
      </c>
      <c r="J260" s="42">
        <f>IFERROR(AVERAGE(Data!J265), "  ")</f>
        <v>74</v>
      </c>
      <c r="K260" s="44">
        <f>IFERROR(AVERAGE(Data!K265), "  ")</f>
        <v>0.13381555153707053</v>
      </c>
      <c r="L260" s="45">
        <f>IFERROR(AVERAGE(Data!L265), "  ")</f>
        <v>592</v>
      </c>
    </row>
    <row r="261" spans="1:12" x14ac:dyDescent="0.2">
      <c r="A261" s="43">
        <f>Data!A266</f>
        <v>40453</v>
      </c>
      <c r="B261" s="42">
        <f>IFERROR(AVERAGE(Data!B266), "  ")</f>
        <v>170</v>
      </c>
      <c r="C261" s="42">
        <f>IFERROR(AVERAGE(Data!C266), "  ")</f>
        <v>22</v>
      </c>
      <c r="D261" s="42">
        <f>IFERROR(AVERAGE(Data!D266), "  ")</f>
        <v>129</v>
      </c>
      <c r="E261" s="42">
        <f>IFERROR(AVERAGE(Data!E266), "  ")</f>
        <v>321</v>
      </c>
      <c r="F261" s="42">
        <f>IFERROR(AVERAGE(Data!F266), "  ")</f>
        <v>612</v>
      </c>
      <c r="G261" s="42">
        <f>IFERROR(AVERAGE(Data!G266), "  ")</f>
        <v>291</v>
      </c>
      <c r="H261" s="44">
        <f>IFERROR(AVERAGE(Data!H266), "  ")</f>
        <v>-2.3923444976076555E-2</v>
      </c>
      <c r="I261" s="44">
        <f>IFERROR(AVERAGE(Data!I266), "  ")</f>
        <v>-0.12771739130434784</v>
      </c>
      <c r="J261" s="42">
        <f>IFERROR(AVERAGE(Data!J266), "  ")</f>
        <v>-47</v>
      </c>
      <c r="K261" s="44">
        <f>IFERROR(AVERAGE(Data!K266), "  ")</f>
        <v>0.37528089887640448</v>
      </c>
      <c r="L261" s="45">
        <f>IFERROR(AVERAGE(Data!L266), "  ")</f>
        <v>544.33333333333337</v>
      </c>
    </row>
    <row r="262" spans="1:12" x14ac:dyDescent="0.2">
      <c r="A262" s="43">
        <f>Data!A267</f>
        <v>40460</v>
      </c>
      <c r="B262" s="42">
        <f>IFERROR(AVERAGE(Data!B267), "  ")</f>
        <v>236</v>
      </c>
      <c r="C262" s="42">
        <f>IFERROR(AVERAGE(Data!C267), "  ")</f>
        <v>45</v>
      </c>
      <c r="D262" s="42">
        <f>IFERROR(AVERAGE(Data!D267), "  ")</f>
        <v>101</v>
      </c>
      <c r="E262" s="42">
        <f>IFERROR(AVERAGE(Data!E267), "  ")</f>
        <v>382</v>
      </c>
      <c r="F262" s="42">
        <f>IFERROR(AVERAGE(Data!F267), "  ")</f>
        <v>649</v>
      </c>
      <c r="G262" s="42">
        <f>IFERROR(AVERAGE(Data!G267), "  ")</f>
        <v>267</v>
      </c>
      <c r="H262" s="44">
        <f>IFERROR(AVERAGE(Data!H267), "  ")</f>
        <v>6.0457516339869281E-2</v>
      </c>
      <c r="I262" s="44">
        <f>IFERROR(AVERAGE(Data!I267), "  ")</f>
        <v>0.19003115264797507</v>
      </c>
      <c r="J262" s="42">
        <f>IFERROR(AVERAGE(Data!J267), "  ")</f>
        <v>61</v>
      </c>
      <c r="K262" s="44">
        <f>IFERROR(AVERAGE(Data!K267), "  ")</f>
        <v>0.50930232558139532</v>
      </c>
      <c r="L262" s="45">
        <f>IFERROR(AVERAGE(Data!L267), "  ")</f>
        <v>561.33333333333337</v>
      </c>
    </row>
    <row r="263" spans="1:12" x14ac:dyDescent="0.2">
      <c r="A263" s="43">
        <f>Data!A268</f>
        <v>40467</v>
      </c>
      <c r="B263" s="42">
        <f>IFERROR(AVERAGE(Data!B268), "  ")</f>
        <v>433</v>
      </c>
      <c r="C263" s="42">
        <f>IFERROR(AVERAGE(Data!C268), "  ")</f>
        <v>27</v>
      </c>
      <c r="D263" s="42">
        <f>IFERROR(AVERAGE(Data!D268), "  ")</f>
        <v>185</v>
      </c>
      <c r="E263" s="42">
        <f>IFERROR(AVERAGE(Data!E268), "  ")</f>
        <v>645</v>
      </c>
      <c r="F263" s="42">
        <f>IFERROR(AVERAGE(Data!F268), "  ")</f>
        <v>709</v>
      </c>
      <c r="G263" s="42">
        <f>IFERROR(AVERAGE(Data!G268), "  ")</f>
        <v>64</v>
      </c>
      <c r="H263" s="44">
        <f>IFERROR(AVERAGE(Data!H268), "  ")</f>
        <v>9.2449922958397532E-2</v>
      </c>
      <c r="I263" s="44">
        <f>IFERROR(AVERAGE(Data!I268), "  ")</f>
        <v>0.68848167539267013</v>
      </c>
      <c r="J263" s="42">
        <f>IFERROR(AVERAGE(Data!J268), "  ")</f>
        <v>263</v>
      </c>
      <c r="K263" s="44">
        <f>IFERROR(AVERAGE(Data!K268), "  ")</f>
        <v>0.42655935613682094</v>
      </c>
      <c r="L263" s="45">
        <f>IFERROR(AVERAGE(Data!L268), "  ")</f>
        <v>571.33333333333337</v>
      </c>
    </row>
    <row r="264" spans="1:12" x14ac:dyDescent="0.2">
      <c r="A264" s="43">
        <f>Data!A269</f>
        <v>40474</v>
      </c>
      <c r="B264" s="42">
        <f>IFERROR(AVERAGE(Data!B269), "  ")</f>
        <v>351</v>
      </c>
      <c r="C264" s="42">
        <f>IFERROR(AVERAGE(Data!C269), "  ")</f>
        <v>37</v>
      </c>
      <c r="D264" s="42">
        <f>IFERROR(AVERAGE(Data!D269), "  ")</f>
        <v>105</v>
      </c>
      <c r="E264" s="42">
        <f>IFERROR(AVERAGE(Data!E269), "  ")</f>
        <v>493</v>
      </c>
      <c r="F264" s="42">
        <f>IFERROR(AVERAGE(Data!F269), "  ")</f>
        <v>649</v>
      </c>
      <c r="G264" s="42">
        <f>IFERROR(AVERAGE(Data!G269), "  ")</f>
        <v>156</v>
      </c>
      <c r="H264" s="44">
        <f>IFERROR(AVERAGE(Data!H269), "  ")</f>
        <v>-8.4626234132581094E-2</v>
      </c>
      <c r="I264" s="44">
        <f>IFERROR(AVERAGE(Data!I269), "  ")</f>
        <v>-0.23565891472868217</v>
      </c>
      <c r="J264" s="42">
        <f>IFERROR(AVERAGE(Data!J269), "  ")</f>
        <v>-152</v>
      </c>
      <c r="K264" s="44">
        <f>IFERROR(AVERAGE(Data!K269), "  ")</f>
        <v>9.4435075885328831E-2</v>
      </c>
      <c r="L264" s="45">
        <f>IFERROR(AVERAGE(Data!L269), "  ")</f>
        <v>579.33333333333337</v>
      </c>
    </row>
    <row r="265" spans="1:12" x14ac:dyDescent="0.2">
      <c r="A265" s="43">
        <f>Data!A270</f>
        <v>40481</v>
      </c>
      <c r="B265" s="42">
        <f>IFERROR(AVERAGE(Data!B270), "  ")</f>
        <v>322</v>
      </c>
      <c r="C265" s="42">
        <f>IFERROR(AVERAGE(Data!C270), "  ")</f>
        <v>34</v>
      </c>
      <c r="D265" s="42">
        <f>IFERROR(AVERAGE(Data!D270), "  ")</f>
        <v>97</v>
      </c>
      <c r="E265" s="42">
        <f>IFERROR(AVERAGE(Data!E270), "  ")</f>
        <v>453</v>
      </c>
      <c r="F265" s="42">
        <f>IFERROR(AVERAGE(Data!F270), "  ")</f>
        <v>709</v>
      </c>
      <c r="G265" s="42">
        <f>IFERROR(AVERAGE(Data!G270), "  ")</f>
        <v>256</v>
      </c>
      <c r="H265" s="44">
        <f>IFERROR(AVERAGE(Data!H270), "  ")</f>
        <v>9.2449922958397532E-2</v>
      </c>
      <c r="I265" s="44">
        <f>IFERROR(AVERAGE(Data!I270), "  ")</f>
        <v>-8.1135902636916835E-2</v>
      </c>
      <c r="J265" s="42">
        <f>IFERROR(AVERAGE(Data!J270), "  ")</f>
        <v>-40</v>
      </c>
      <c r="K265" s="44">
        <f>IFERROR(AVERAGE(Data!K270), "  ")</f>
        <v>0.27060931899641577</v>
      </c>
      <c r="L265" s="45">
        <f>IFERROR(AVERAGE(Data!L270), "  ")</f>
        <v>618</v>
      </c>
    </row>
    <row r="266" spans="1:12" x14ac:dyDescent="0.2">
      <c r="A266" s="43">
        <f>Data!A271</f>
        <v>40488</v>
      </c>
      <c r="B266" s="42">
        <f>IFERROR(AVERAGE(Data!B271), "  ")</f>
        <v>242</v>
      </c>
      <c r="C266" s="42">
        <f>IFERROR(AVERAGE(Data!C271), "  ")</f>
        <v>21</v>
      </c>
      <c r="D266" s="42">
        <f>IFERROR(AVERAGE(Data!D271), "  ")</f>
        <v>83</v>
      </c>
      <c r="E266" s="42">
        <f>IFERROR(AVERAGE(Data!E271), "  ")</f>
        <v>346</v>
      </c>
      <c r="F266" s="42">
        <f>IFERROR(AVERAGE(Data!F271), "  ")</f>
        <v>650</v>
      </c>
      <c r="G266" s="42">
        <f>IFERROR(AVERAGE(Data!G271), "  ")</f>
        <v>304</v>
      </c>
      <c r="H266" s="44">
        <f>IFERROR(AVERAGE(Data!H271), "  ")</f>
        <v>-8.3215796897038077E-2</v>
      </c>
      <c r="I266" s="44">
        <f>IFERROR(AVERAGE(Data!I271), "  ")</f>
        <v>-0.23620309050772628</v>
      </c>
      <c r="J266" s="42">
        <f>IFERROR(AVERAGE(Data!J271), "  ")</f>
        <v>-107</v>
      </c>
      <c r="K266" s="44">
        <f>IFERROR(AVERAGE(Data!K271), "  ")</f>
        <v>-5.6603773584905662E-2</v>
      </c>
      <c r="L266" s="45">
        <f>IFERROR(AVERAGE(Data!L271), "  ")</f>
        <v>687.33333333333337</v>
      </c>
    </row>
    <row r="267" spans="1:12" x14ac:dyDescent="0.2">
      <c r="A267" s="43">
        <f>Data!A272</f>
        <v>40495</v>
      </c>
      <c r="B267" s="42">
        <f>IFERROR(AVERAGE(Data!B272), "  ")</f>
        <v>450</v>
      </c>
      <c r="C267" s="42">
        <f>IFERROR(AVERAGE(Data!C272), "  ")</f>
        <v>64</v>
      </c>
      <c r="D267" s="42">
        <f>IFERROR(AVERAGE(Data!D272), "  ")</f>
        <v>68</v>
      </c>
      <c r="E267" s="42">
        <f>IFERROR(AVERAGE(Data!E272), "  ")</f>
        <v>582</v>
      </c>
      <c r="F267" s="42">
        <f>IFERROR(AVERAGE(Data!F272), "  ")</f>
        <v>755</v>
      </c>
      <c r="G267" s="42">
        <f>IFERROR(AVERAGE(Data!G272), "  ")</f>
        <v>173</v>
      </c>
      <c r="H267" s="44">
        <f>IFERROR(AVERAGE(Data!H272), "  ")</f>
        <v>0.16153846153846155</v>
      </c>
      <c r="I267" s="44">
        <f>IFERROR(AVERAGE(Data!I272), "  ")</f>
        <v>0.68208092485549132</v>
      </c>
      <c r="J267" s="42">
        <f>IFERROR(AVERAGE(Data!J272), "  ")</f>
        <v>236</v>
      </c>
      <c r="K267" s="44">
        <f>IFERROR(AVERAGE(Data!K272), "  ")</f>
        <v>5.0069541029207229E-2</v>
      </c>
      <c r="L267" s="45">
        <f>IFERROR(AVERAGE(Data!L272), "  ")</f>
        <v>726</v>
      </c>
    </row>
    <row r="268" spans="1:12" x14ac:dyDescent="0.2">
      <c r="A268" s="43">
        <f>Data!A273</f>
        <v>40502</v>
      </c>
      <c r="B268" s="42">
        <f>IFERROR(AVERAGE(Data!B273), "  ")</f>
        <v>347</v>
      </c>
      <c r="C268" s="42">
        <f>IFERROR(AVERAGE(Data!C273), "  ")</f>
        <v>32</v>
      </c>
      <c r="D268" s="42">
        <f>IFERROR(AVERAGE(Data!D273), "  ")</f>
        <v>36</v>
      </c>
      <c r="E268" s="42">
        <f>IFERROR(AVERAGE(Data!E273), "  ")</f>
        <v>415</v>
      </c>
      <c r="F268" s="42">
        <f>IFERROR(AVERAGE(Data!F273), "  ")</f>
        <v>774</v>
      </c>
      <c r="G268" s="42">
        <f>IFERROR(AVERAGE(Data!G273), "  ")</f>
        <v>359</v>
      </c>
      <c r="H268" s="44">
        <f>IFERROR(AVERAGE(Data!H273), "  ")</f>
        <v>2.5165562913907286E-2</v>
      </c>
      <c r="I268" s="44">
        <f>IFERROR(AVERAGE(Data!I273), "  ")</f>
        <v>-0.28694158075601373</v>
      </c>
      <c r="J268" s="42">
        <f>IFERROR(AVERAGE(Data!J273), "  ")</f>
        <v>-167</v>
      </c>
      <c r="K268" s="44">
        <f>IFERROR(AVERAGE(Data!K273), "  ")</f>
        <v>7.2022160664819951E-2</v>
      </c>
      <c r="L268" s="45">
        <f>IFERROR(AVERAGE(Data!L273), "  ")</f>
        <v>689</v>
      </c>
    </row>
    <row r="269" spans="1:12" x14ac:dyDescent="0.2">
      <c r="A269" s="43">
        <f>Data!A274</f>
        <v>40509</v>
      </c>
      <c r="B269" s="42">
        <f>IFERROR(AVERAGE(Data!B274), "  ")</f>
        <v>372</v>
      </c>
      <c r="C269" s="42">
        <f>IFERROR(AVERAGE(Data!C274), "  ")</f>
        <v>60</v>
      </c>
      <c r="D269" s="42">
        <f>IFERROR(AVERAGE(Data!D274), "  ")</f>
        <v>88</v>
      </c>
      <c r="E269" s="42">
        <f>IFERROR(AVERAGE(Data!E274), "  ")</f>
        <v>520</v>
      </c>
      <c r="F269" s="42">
        <f>IFERROR(AVERAGE(Data!F274), "  ")</f>
        <v>662</v>
      </c>
      <c r="G269" s="42">
        <f>IFERROR(AVERAGE(Data!G274), "  ")</f>
        <v>142</v>
      </c>
      <c r="H269" s="44">
        <f>IFERROR(AVERAGE(Data!H274), "  ")</f>
        <v>-0.14470284237726097</v>
      </c>
      <c r="I269" s="44">
        <f>IFERROR(AVERAGE(Data!I274), "  ")</f>
        <v>0.25301204819277107</v>
      </c>
      <c r="J269" s="42">
        <f>IFERROR(AVERAGE(Data!J274), "  ")</f>
        <v>105</v>
      </c>
      <c r="K269" s="44">
        <f>IFERROR(AVERAGE(Data!K274), "  ")</f>
        <v>0.1163575042158516</v>
      </c>
      <c r="L269" s="45">
        <f>IFERROR(AVERAGE(Data!L274), "  ")</f>
        <v>658.66666666666663</v>
      </c>
    </row>
    <row r="270" spans="1:12" x14ac:dyDescent="0.2">
      <c r="A270" s="43">
        <f>Data!A275</f>
        <v>40516</v>
      </c>
      <c r="B270" s="42">
        <f>IFERROR(AVERAGE(Data!B275), "  ")</f>
        <v>591</v>
      </c>
      <c r="C270" s="42">
        <f>IFERROR(AVERAGE(Data!C275), "  ")</f>
        <v>53</v>
      </c>
      <c r="D270" s="42">
        <f>IFERROR(AVERAGE(Data!D275), "  ")</f>
        <v>62</v>
      </c>
      <c r="E270" s="42">
        <f>IFERROR(AVERAGE(Data!E275), "  ")</f>
        <v>706</v>
      </c>
      <c r="F270" s="42">
        <f>IFERROR(AVERAGE(Data!F275), "  ")</f>
        <v>798</v>
      </c>
      <c r="G270" s="42">
        <f>IFERROR(AVERAGE(Data!G275), "  ")</f>
        <v>92</v>
      </c>
      <c r="H270" s="44">
        <f>IFERROR(AVERAGE(Data!H275), "  ")</f>
        <v>0.20543806646525681</v>
      </c>
      <c r="I270" s="44">
        <f>IFERROR(AVERAGE(Data!I275), "  ")</f>
        <v>0.3576923076923077</v>
      </c>
      <c r="J270" s="42">
        <f>IFERROR(AVERAGE(Data!J275), "  ")</f>
        <v>186</v>
      </c>
      <c r="K270" s="44">
        <f>IFERROR(AVERAGE(Data!K275), "  ")</f>
        <v>0.27679999999999999</v>
      </c>
      <c r="L270" s="45">
        <f>IFERROR(AVERAGE(Data!L275), "  ")</f>
        <v>705</v>
      </c>
    </row>
    <row r="271" spans="1:12" x14ac:dyDescent="0.2">
      <c r="A271" s="43">
        <f>Data!A276</f>
        <v>40523</v>
      </c>
      <c r="B271" s="42">
        <f>IFERROR(AVERAGE(Data!B276), "  ")</f>
        <v>381</v>
      </c>
      <c r="C271" s="42">
        <f>IFERROR(AVERAGE(Data!C276), "  ")</f>
        <v>28</v>
      </c>
      <c r="D271" s="42">
        <f>IFERROR(AVERAGE(Data!D276), "  ")</f>
        <v>56</v>
      </c>
      <c r="E271" s="42">
        <f>IFERROR(AVERAGE(Data!E276), "  ")</f>
        <v>465</v>
      </c>
      <c r="F271" s="42">
        <f>IFERROR(AVERAGE(Data!F276), "  ")</f>
        <v>846</v>
      </c>
      <c r="G271" s="42">
        <f>IFERROR(AVERAGE(Data!G276), "  ")</f>
        <v>381</v>
      </c>
      <c r="H271" s="44">
        <f>IFERROR(AVERAGE(Data!H276), "  ")</f>
        <v>6.0150375939849621E-2</v>
      </c>
      <c r="I271" s="44">
        <f>IFERROR(AVERAGE(Data!I276), "  ")</f>
        <v>-0.34135977337110479</v>
      </c>
      <c r="J271" s="42">
        <f>IFERROR(AVERAGE(Data!J276), "  ")</f>
        <v>-241</v>
      </c>
      <c r="K271" s="44">
        <f>IFERROR(AVERAGE(Data!K276), "  ")</f>
        <v>0.41235392320534225</v>
      </c>
      <c r="L271" s="45">
        <f>IFERROR(AVERAGE(Data!L276), "  ")</f>
        <v>656.66666666666663</v>
      </c>
    </row>
    <row r="272" spans="1:12" x14ac:dyDescent="0.2">
      <c r="A272" s="43">
        <f>Data!A277</f>
        <v>40530</v>
      </c>
      <c r="B272" s="42">
        <f>IFERROR(AVERAGE(Data!B277), "  ")</f>
        <v>278</v>
      </c>
      <c r="C272" s="42">
        <f>IFERROR(AVERAGE(Data!C277), "  ")</f>
        <v>49</v>
      </c>
      <c r="D272" s="42">
        <f>IFERROR(AVERAGE(Data!D277), "  ")</f>
        <v>114</v>
      </c>
      <c r="E272" s="42">
        <f>IFERROR(AVERAGE(Data!E277), "  ")</f>
        <v>441</v>
      </c>
      <c r="F272" s="42">
        <f>IFERROR(AVERAGE(Data!F277), "  ")</f>
        <v>732</v>
      </c>
      <c r="G272" s="42">
        <f>IFERROR(AVERAGE(Data!G277), "  ")</f>
        <v>291</v>
      </c>
      <c r="H272" s="44">
        <f>IFERROR(AVERAGE(Data!H277), "  ")</f>
        <v>-0.13475177304964539</v>
      </c>
      <c r="I272" s="44">
        <f>IFERROR(AVERAGE(Data!I277), "  ")</f>
        <v>-5.1612903225806452E-2</v>
      </c>
      <c r="J272" s="42">
        <f>IFERROR(AVERAGE(Data!J277), "  ")</f>
        <v>-24</v>
      </c>
      <c r="K272" s="44">
        <f>IFERROR(AVERAGE(Data!K277), "  ")</f>
        <v>0.57081545064377681</v>
      </c>
      <c r="L272" s="45">
        <f>IFERROR(AVERAGE(Data!L277), "  ")</f>
        <v>597.33333333333337</v>
      </c>
    </row>
    <row r="273" spans="1:12" x14ac:dyDescent="0.2">
      <c r="A273" s="43">
        <f>Data!A278</f>
        <v>40537</v>
      </c>
      <c r="B273" s="42">
        <f>IFERROR(AVERAGE(Data!B278), "  ")</f>
        <v>354</v>
      </c>
      <c r="C273" s="42">
        <f>IFERROR(AVERAGE(Data!C278), "  ")</f>
        <v>79</v>
      </c>
      <c r="D273" s="42">
        <f>IFERROR(AVERAGE(Data!D278), "  ")</f>
        <v>115</v>
      </c>
      <c r="E273" s="42">
        <f>IFERROR(AVERAGE(Data!E278), "  ")</f>
        <v>548</v>
      </c>
      <c r="F273" s="42">
        <f>IFERROR(AVERAGE(Data!F278), "  ")</f>
        <v>564</v>
      </c>
      <c r="G273" s="42">
        <f>IFERROR(AVERAGE(Data!G278), "  ")</f>
        <v>16</v>
      </c>
      <c r="H273" s="44">
        <f>IFERROR(AVERAGE(Data!H278), "  ")</f>
        <v>-0.22950819672131148</v>
      </c>
      <c r="I273" s="44">
        <f>IFERROR(AVERAGE(Data!I278), "  ")</f>
        <v>0.24263038548752835</v>
      </c>
      <c r="J273" s="42">
        <f>IFERROR(AVERAGE(Data!J278), "  ")</f>
        <v>107</v>
      </c>
      <c r="K273" s="44">
        <f>IFERROR(AVERAGE(Data!K278), "  ")</f>
        <v>-0.12828438948995363</v>
      </c>
      <c r="L273" s="45">
        <f>IFERROR(AVERAGE(Data!L278), "  ")</f>
        <v>629.66666666666663</v>
      </c>
    </row>
    <row r="274" spans="1:12" x14ac:dyDescent="0.2">
      <c r="A274" s="43">
        <f>Data!A279</f>
        <v>40544</v>
      </c>
      <c r="B274" s="42">
        <f>IFERROR(AVERAGE(Data!B279), "  ")</f>
        <v>238</v>
      </c>
      <c r="C274" s="42">
        <f>IFERROR(AVERAGE(Data!C279), "  ")</f>
        <v>33</v>
      </c>
      <c r="D274" s="42">
        <f>IFERROR(AVERAGE(Data!D279), "  ")</f>
        <v>100</v>
      </c>
      <c r="E274" s="42">
        <f>IFERROR(AVERAGE(Data!E279), "  ")</f>
        <v>371</v>
      </c>
      <c r="F274" s="42">
        <f>IFERROR(AVERAGE(Data!F279), "  ")</f>
        <v>430</v>
      </c>
      <c r="G274" s="42">
        <f>IFERROR(AVERAGE(Data!G279), "  ")</f>
        <v>59</v>
      </c>
      <c r="H274" s="44">
        <f>IFERROR(AVERAGE(Data!H279), "  ")</f>
        <v>-0.23758865248226951</v>
      </c>
      <c r="I274" s="44">
        <f>IFERROR(AVERAGE(Data!I279), "  ")</f>
        <v>-0.32299270072992703</v>
      </c>
      <c r="J274" s="42">
        <f>IFERROR(AVERAGE(Data!J279), "  ")</f>
        <v>-177</v>
      </c>
      <c r="K274" s="44">
        <f>IFERROR(AVERAGE(Data!K279), "  ")</f>
        <v>-0.44155844155844154</v>
      </c>
      <c r="L274" s="45">
        <f>IFERROR(AVERAGE(Data!L279), "  ")</f>
        <v>660.66666666666663</v>
      </c>
    </row>
    <row r="275" spans="1:12" x14ac:dyDescent="0.2">
      <c r="A275" s="43">
        <f>Data!A280</f>
        <v>40551</v>
      </c>
      <c r="B275" s="42">
        <f>IFERROR(AVERAGE(Data!B280), "  ")</f>
        <v>214</v>
      </c>
      <c r="C275" s="42">
        <f>IFERROR(AVERAGE(Data!C280), "  ")</f>
        <v>29</v>
      </c>
      <c r="D275" s="42">
        <f>IFERROR(AVERAGE(Data!D280), "  ")</f>
        <v>120</v>
      </c>
      <c r="E275" s="42">
        <f>IFERROR(AVERAGE(Data!E280), "  ")</f>
        <v>363</v>
      </c>
      <c r="F275" s="42">
        <f>IFERROR(AVERAGE(Data!F280), "  ")</f>
        <v>654</v>
      </c>
      <c r="G275" s="42">
        <f>IFERROR(AVERAGE(Data!G280), "  ")</f>
        <v>291</v>
      </c>
      <c r="H275" s="44">
        <f>IFERROR(AVERAGE(Data!H280), "  ")</f>
        <v>0.52093023255813953</v>
      </c>
      <c r="I275" s="44">
        <f>IFERROR(AVERAGE(Data!I280), "  ")</f>
        <v>-2.15633423180593E-2</v>
      </c>
      <c r="J275" s="42">
        <f>IFERROR(AVERAGE(Data!J280), "  ")</f>
        <v>-8</v>
      </c>
      <c r="K275" s="44">
        <f>IFERROR(AVERAGE(Data!K280), "  ")</f>
        <v>-0.1825</v>
      </c>
      <c r="L275" s="45">
        <f>IFERROR(AVERAGE(Data!L280), "  ")</f>
        <v>706</v>
      </c>
    </row>
    <row r="276" spans="1:12" x14ac:dyDescent="0.2">
      <c r="A276" s="43">
        <f>Data!A281</f>
        <v>40558</v>
      </c>
      <c r="B276" s="42">
        <f>IFERROR(AVERAGE(Data!B281), "  ")</f>
        <v>138</v>
      </c>
      <c r="C276" s="42">
        <f>IFERROR(AVERAGE(Data!C281), "  ")</f>
        <v>24</v>
      </c>
      <c r="D276" s="42">
        <f>IFERROR(AVERAGE(Data!D281), "  ")</f>
        <v>175</v>
      </c>
      <c r="E276" s="42">
        <f>IFERROR(AVERAGE(Data!E281), "  ")</f>
        <v>337</v>
      </c>
      <c r="F276" s="42">
        <f>IFERROR(AVERAGE(Data!F281), "  ")</f>
        <v>571</v>
      </c>
      <c r="G276" s="42">
        <f>IFERROR(AVERAGE(Data!G281), "  ")</f>
        <v>234</v>
      </c>
      <c r="H276" s="44">
        <f>IFERROR(AVERAGE(Data!H281), "  ")</f>
        <v>-0.12691131498470948</v>
      </c>
      <c r="I276" s="44">
        <f>IFERROR(AVERAGE(Data!I281), "  ")</f>
        <v>-7.1625344352617082E-2</v>
      </c>
      <c r="J276" s="42">
        <f>IFERROR(AVERAGE(Data!J281), "  ")</f>
        <v>-26</v>
      </c>
      <c r="K276" s="44">
        <f>IFERROR(AVERAGE(Data!K281), "  ")</f>
        <v>-0.25844155844155842</v>
      </c>
      <c r="L276" s="45">
        <f>IFERROR(AVERAGE(Data!L281), "  ")</f>
        <v>711</v>
      </c>
    </row>
    <row r="277" spans="1:12" x14ac:dyDescent="0.2">
      <c r="A277" s="43">
        <f>Data!A282</f>
        <v>40565</v>
      </c>
      <c r="B277" s="42">
        <f>IFERROR(AVERAGE(Data!B282), "  ")</f>
        <v>162</v>
      </c>
      <c r="C277" s="42">
        <f>IFERROR(AVERAGE(Data!C282), "  ")</f>
        <v>31</v>
      </c>
      <c r="D277" s="42">
        <f>IFERROR(AVERAGE(Data!D282), "  ")</f>
        <v>167</v>
      </c>
      <c r="E277" s="42">
        <f>IFERROR(AVERAGE(Data!E282), "  ")</f>
        <v>360</v>
      </c>
      <c r="F277" s="42">
        <f>IFERROR(AVERAGE(Data!F282), "  ")</f>
        <v>610</v>
      </c>
      <c r="G277" s="42">
        <f>IFERROR(AVERAGE(Data!G282), "  ")</f>
        <v>250</v>
      </c>
      <c r="H277" s="44">
        <f>IFERROR(AVERAGE(Data!H282), "  ")</f>
        <v>6.8301225919439573E-2</v>
      </c>
      <c r="I277" s="44">
        <f>IFERROR(AVERAGE(Data!I282), "  ")</f>
        <v>6.8249258160237386E-2</v>
      </c>
      <c r="J277" s="42">
        <f>IFERROR(AVERAGE(Data!J282), "  ")</f>
        <v>23</v>
      </c>
      <c r="K277" s="44">
        <f>IFERROR(AVERAGE(Data!K282), "  ")</f>
        <v>-9.0909090909090912E-2</v>
      </c>
      <c r="L277" s="45">
        <f>IFERROR(AVERAGE(Data!L282), "  ")</f>
        <v>671</v>
      </c>
    </row>
    <row r="278" spans="1:12" x14ac:dyDescent="0.2">
      <c r="A278" s="43">
        <f>Data!A283</f>
        <v>40572</v>
      </c>
      <c r="B278" s="42">
        <f>IFERROR(AVERAGE(Data!B283), "  ")</f>
        <v>184</v>
      </c>
      <c r="C278" s="42">
        <f>IFERROR(AVERAGE(Data!C283), "  ")</f>
        <v>32</v>
      </c>
      <c r="D278" s="42">
        <f>IFERROR(AVERAGE(Data!D283), "  ")</f>
        <v>151</v>
      </c>
      <c r="E278" s="42">
        <f>IFERROR(AVERAGE(Data!E283), "  ")</f>
        <v>367</v>
      </c>
      <c r="F278" s="42">
        <f>IFERROR(AVERAGE(Data!F283), "  ")</f>
        <v>701</v>
      </c>
      <c r="G278" s="42">
        <f>IFERROR(AVERAGE(Data!G283), "  ")</f>
        <v>334</v>
      </c>
      <c r="H278" s="44">
        <f>IFERROR(AVERAGE(Data!H283), "  ")</f>
        <v>0.14918032786885246</v>
      </c>
      <c r="I278" s="44">
        <f>IFERROR(AVERAGE(Data!I283), "  ")</f>
        <v>1.9444444444444445E-2</v>
      </c>
      <c r="J278" s="42">
        <f>IFERROR(AVERAGE(Data!J283), "  ")</f>
        <v>7</v>
      </c>
      <c r="K278" s="44">
        <f>IFERROR(AVERAGE(Data!K283), "  ")</f>
        <v>-6.1579651941097727E-2</v>
      </c>
      <c r="L278" s="45">
        <f>IFERROR(AVERAGE(Data!L283), "  ")</f>
        <v>717.66666666666663</v>
      </c>
    </row>
    <row r="279" spans="1:12" x14ac:dyDescent="0.2">
      <c r="A279" s="43">
        <f>Data!A284</f>
        <v>40579</v>
      </c>
      <c r="B279" s="42">
        <f>IFERROR(AVERAGE(Data!B284), "  ")</f>
        <v>100</v>
      </c>
      <c r="C279" s="42">
        <f>IFERROR(AVERAGE(Data!C284), "  ")</f>
        <v>34</v>
      </c>
      <c r="D279" s="42">
        <f>IFERROR(AVERAGE(Data!D284), "  ")</f>
        <v>154</v>
      </c>
      <c r="E279" s="42">
        <f>IFERROR(AVERAGE(Data!E284), "  ")</f>
        <v>288</v>
      </c>
      <c r="F279" s="42">
        <f>IFERROR(AVERAGE(Data!F284), "  ")</f>
        <v>637</v>
      </c>
      <c r="G279" s="42">
        <f>IFERROR(AVERAGE(Data!G284), "  ")</f>
        <v>349</v>
      </c>
      <c r="H279" s="44">
        <f>IFERROR(AVERAGE(Data!H284), "  ")</f>
        <v>-9.1298145506419404E-2</v>
      </c>
      <c r="I279" s="44">
        <f>IFERROR(AVERAGE(Data!I284), "  ")</f>
        <v>-0.21525885558583105</v>
      </c>
      <c r="J279" s="42">
        <f>IFERROR(AVERAGE(Data!J284), "  ")</f>
        <v>-79</v>
      </c>
      <c r="K279" s="44">
        <f>IFERROR(AVERAGE(Data!K284), "  ")</f>
        <v>-3.1914893617021274E-2</v>
      </c>
      <c r="L279" s="45">
        <f>IFERROR(AVERAGE(Data!L284), "  ")</f>
        <v>698</v>
      </c>
    </row>
    <row r="280" spans="1:12" x14ac:dyDescent="0.2">
      <c r="A280" s="43">
        <f>Data!A285</f>
        <v>40586</v>
      </c>
      <c r="B280" s="42">
        <f>IFERROR(AVERAGE(Data!B285), "  ")</f>
        <v>105</v>
      </c>
      <c r="C280" s="42">
        <f>IFERROR(AVERAGE(Data!C285), "  ")</f>
        <v>25</v>
      </c>
      <c r="D280" s="42">
        <f>IFERROR(AVERAGE(Data!D285), "  ")</f>
        <v>166</v>
      </c>
      <c r="E280" s="42">
        <f>IFERROR(AVERAGE(Data!E285), "  ")</f>
        <v>296</v>
      </c>
      <c r="F280" s="42">
        <f>IFERROR(AVERAGE(Data!F285), "  ")</f>
        <v>694</v>
      </c>
      <c r="G280" s="42">
        <f>IFERROR(AVERAGE(Data!G285), "  ")</f>
        <v>398</v>
      </c>
      <c r="H280" s="44">
        <f>IFERROR(AVERAGE(Data!H285), "  ")</f>
        <v>8.9481946624803771E-2</v>
      </c>
      <c r="I280" s="44">
        <f>IFERROR(AVERAGE(Data!I285), "  ")</f>
        <v>2.7777777777777776E-2</v>
      </c>
      <c r="J280" s="42">
        <f>IFERROR(AVERAGE(Data!J285), "  ")</f>
        <v>8</v>
      </c>
      <c r="K280" s="44">
        <f>IFERROR(AVERAGE(Data!K285), "  ")</f>
        <v>0.16053511705685619</v>
      </c>
      <c r="L280" s="45">
        <f>IFERROR(AVERAGE(Data!L285), "  ")</f>
        <v>667</v>
      </c>
    </row>
    <row r="281" spans="1:12" x14ac:dyDescent="0.2">
      <c r="A281" s="43">
        <f>Data!A286</f>
        <v>40593</v>
      </c>
      <c r="B281" s="42">
        <f>IFERROR(AVERAGE(Data!B286), "  ")</f>
        <v>215</v>
      </c>
      <c r="C281" s="42">
        <f>IFERROR(AVERAGE(Data!C286), "  ")</f>
        <v>40</v>
      </c>
      <c r="D281" s="42">
        <f>IFERROR(AVERAGE(Data!D286), "  ")</f>
        <v>179</v>
      </c>
      <c r="E281" s="42">
        <f>IFERROR(AVERAGE(Data!E286), "  ")</f>
        <v>434</v>
      </c>
      <c r="F281" s="42">
        <f>IFERROR(AVERAGE(Data!F286), "  ")</f>
        <v>725</v>
      </c>
      <c r="G281" s="42">
        <f>IFERROR(AVERAGE(Data!G286), "  ")</f>
        <v>291</v>
      </c>
      <c r="H281" s="44">
        <f>IFERROR(AVERAGE(Data!H286), "  ")</f>
        <v>4.4668587896253602E-2</v>
      </c>
      <c r="I281" s="44">
        <f>IFERROR(AVERAGE(Data!I286), "  ")</f>
        <v>0.46621621621621623</v>
      </c>
      <c r="J281" s="42">
        <f>IFERROR(AVERAGE(Data!J286), "  ")</f>
        <v>138</v>
      </c>
      <c r="K281" s="44">
        <f>IFERROR(AVERAGE(Data!K286), "  ")</f>
        <v>2.4011299435028249E-2</v>
      </c>
      <c r="L281" s="45">
        <f>IFERROR(AVERAGE(Data!L286), "  ")</f>
        <v>625.33333333333337</v>
      </c>
    </row>
    <row r="282" spans="1:12" x14ac:dyDescent="0.2">
      <c r="A282" s="43">
        <f>Data!A287</f>
        <v>40600</v>
      </c>
      <c r="B282" s="42">
        <f>IFERROR(AVERAGE(Data!B287), "  ")</f>
        <v>213</v>
      </c>
      <c r="C282" s="42">
        <f>IFERROR(AVERAGE(Data!C287), "  ")</f>
        <v>32</v>
      </c>
      <c r="D282" s="42">
        <f>IFERROR(AVERAGE(Data!D287), "  ")</f>
        <v>115</v>
      </c>
      <c r="E282" s="42">
        <f>IFERROR(AVERAGE(Data!E287), "  ")</f>
        <v>360</v>
      </c>
      <c r="F282" s="42">
        <f>IFERROR(AVERAGE(Data!F287), "  ")</f>
        <v>654</v>
      </c>
      <c r="G282" s="42">
        <f>IFERROR(AVERAGE(Data!G287), "  ")</f>
        <v>294</v>
      </c>
      <c r="H282" s="44">
        <f>IFERROR(AVERAGE(Data!H287), "  ")</f>
        <v>-9.7931034482758625E-2</v>
      </c>
      <c r="I282" s="44">
        <f>IFERROR(AVERAGE(Data!I287), "  ")</f>
        <v>-0.17050691244239632</v>
      </c>
      <c r="J282" s="42">
        <f>IFERROR(AVERAGE(Data!J287), "  ")</f>
        <v>-74</v>
      </c>
      <c r="K282" s="44">
        <f>IFERROR(AVERAGE(Data!K287), "  ")</f>
        <v>-0.13833992094861661</v>
      </c>
      <c r="L282" s="45">
        <f>IFERROR(AVERAGE(Data!L287), "  ")</f>
        <v>631</v>
      </c>
    </row>
    <row r="283" spans="1:12" x14ac:dyDescent="0.2">
      <c r="A283" s="43">
        <f>Data!A288</f>
        <v>40607</v>
      </c>
      <c r="B283" s="42">
        <f>IFERROR(AVERAGE(Data!B288), "  ")</f>
        <v>145</v>
      </c>
      <c r="C283" s="42">
        <f>IFERROR(AVERAGE(Data!C288), "  ")</f>
        <v>44</v>
      </c>
      <c r="D283" s="42">
        <f>IFERROR(AVERAGE(Data!D288), "  ")</f>
        <v>72</v>
      </c>
      <c r="E283" s="42">
        <f>IFERROR(AVERAGE(Data!E288), "  ")</f>
        <v>261</v>
      </c>
      <c r="F283" s="42">
        <f>IFERROR(AVERAGE(Data!F288), "  ")</f>
        <v>714</v>
      </c>
      <c r="G283" s="42">
        <f>IFERROR(AVERAGE(Data!G288), "  ")</f>
        <v>453</v>
      </c>
      <c r="H283" s="44">
        <f>IFERROR(AVERAGE(Data!H288), "  ")</f>
        <v>9.1743119266055051E-2</v>
      </c>
      <c r="I283" s="44">
        <f>IFERROR(AVERAGE(Data!I288), "  ")</f>
        <v>-0.27500000000000002</v>
      </c>
      <c r="J283" s="42">
        <f>IFERROR(AVERAGE(Data!J288), "  ")</f>
        <v>-99</v>
      </c>
      <c r="K283" s="44">
        <f>IFERROR(AVERAGE(Data!K288), "  ")</f>
        <v>0.23743500866551126</v>
      </c>
      <c r="L283" s="45">
        <f>IFERROR(AVERAGE(Data!L288), "  ")</f>
        <v>625</v>
      </c>
    </row>
    <row r="284" spans="1:12" x14ac:dyDescent="0.2">
      <c r="A284" s="43">
        <f>Data!A289</f>
        <v>40614</v>
      </c>
      <c r="B284" s="42">
        <f>IFERROR(AVERAGE(Data!B289), "  ")</f>
        <v>226</v>
      </c>
      <c r="C284" s="42">
        <f>IFERROR(AVERAGE(Data!C289), "  ")</f>
        <v>54</v>
      </c>
      <c r="D284" s="42">
        <f>IFERROR(AVERAGE(Data!D289), "  ")</f>
        <v>88</v>
      </c>
      <c r="E284" s="42">
        <f>IFERROR(AVERAGE(Data!E289), "  ")</f>
        <v>368</v>
      </c>
      <c r="F284" s="42">
        <f>IFERROR(AVERAGE(Data!F289), "  ")</f>
        <v>563</v>
      </c>
      <c r="G284" s="42">
        <f>IFERROR(AVERAGE(Data!G289), "  ")</f>
        <v>195</v>
      </c>
      <c r="H284" s="44">
        <f>IFERROR(AVERAGE(Data!H289), "  ")</f>
        <v>-0.21148459383753501</v>
      </c>
      <c r="I284" s="44">
        <f>IFERROR(AVERAGE(Data!I289), "  ")</f>
        <v>0.40996168582375481</v>
      </c>
      <c r="J284" s="42">
        <f>IFERROR(AVERAGE(Data!J289), "  ")</f>
        <v>107</v>
      </c>
      <c r="K284" s="44">
        <f>IFERROR(AVERAGE(Data!K289), "  ")</f>
        <v>-3.430531732418525E-2</v>
      </c>
      <c r="L284" s="45">
        <f>IFERROR(AVERAGE(Data!L289), "  ")</f>
        <v>602.33333333333337</v>
      </c>
    </row>
    <row r="285" spans="1:12" x14ac:dyDescent="0.2">
      <c r="A285" s="43">
        <f>Data!A290</f>
        <v>40621</v>
      </c>
      <c r="B285" s="42">
        <f>IFERROR(AVERAGE(Data!B290), "  ")</f>
        <v>278</v>
      </c>
      <c r="C285" s="42">
        <f>IFERROR(AVERAGE(Data!C290), "  ")</f>
        <v>36</v>
      </c>
      <c r="D285" s="42">
        <f>IFERROR(AVERAGE(Data!D290), "  ")</f>
        <v>78</v>
      </c>
      <c r="E285" s="42">
        <f>IFERROR(AVERAGE(Data!E290), "  ")</f>
        <v>392</v>
      </c>
      <c r="F285" s="42">
        <f>IFERROR(AVERAGE(Data!F290), "  ")</f>
        <v>607</v>
      </c>
      <c r="G285" s="42">
        <f>IFERROR(AVERAGE(Data!G290), "  ")</f>
        <v>215</v>
      </c>
      <c r="H285" s="44">
        <f>IFERROR(AVERAGE(Data!H290), "  ")</f>
        <v>7.8152753108348141E-2</v>
      </c>
      <c r="I285" s="44">
        <f>IFERROR(AVERAGE(Data!I290), "  ")</f>
        <v>6.5217391304347824E-2</v>
      </c>
      <c r="J285" s="42">
        <f>IFERROR(AVERAGE(Data!J290), "  ")</f>
        <v>24</v>
      </c>
      <c r="K285" s="44">
        <f>IFERROR(AVERAGE(Data!K290), "  ")</f>
        <v>-0.16275862068965516</v>
      </c>
      <c r="L285" s="45">
        <f>IFERROR(AVERAGE(Data!L290), "  ")</f>
        <v>634</v>
      </c>
    </row>
    <row r="286" spans="1:12" x14ac:dyDescent="0.2">
      <c r="A286" s="43">
        <f>Data!A291</f>
        <v>40628</v>
      </c>
      <c r="B286" s="42">
        <f>IFERROR(AVERAGE(Data!B291), "  ")</f>
        <v>289</v>
      </c>
      <c r="C286" s="42">
        <f>IFERROR(AVERAGE(Data!C291), "  ")</f>
        <v>43</v>
      </c>
      <c r="D286" s="42">
        <f>IFERROR(AVERAGE(Data!D291), "  ")</f>
        <v>84</v>
      </c>
      <c r="E286" s="42">
        <f>IFERROR(AVERAGE(Data!E291), "  ")</f>
        <v>416</v>
      </c>
      <c r="F286" s="42">
        <f>IFERROR(AVERAGE(Data!F291), "  ")</f>
        <v>657</v>
      </c>
      <c r="G286" s="42">
        <f>IFERROR(AVERAGE(Data!G291), "  ")</f>
        <v>241</v>
      </c>
      <c r="H286" s="44">
        <f>IFERROR(AVERAGE(Data!H291), "  ")</f>
        <v>8.2372322899505759E-2</v>
      </c>
      <c r="I286" s="44">
        <f>IFERROR(AVERAGE(Data!I291), "  ")</f>
        <v>6.1224489795918366E-2</v>
      </c>
      <c r="J286" s="42">
        <f>IFERROR(AVERAGE(Data!J291), "  ")</f>
        <v>24</v>
      </c>
      <c r="K286" s="44">
        <f>IFERROR(AVERAGE(Data!K291), "  ")</f>
        <v>5.7971014492753624E-2</v>
      </c>
      <c r="L286" s="45">
        <f>IFERROR(AVERAGE(Data!L291), "  ")</f>
        <v>590</v>
      </c>
    </row>
    <row r="287" spans="1:12" x14ac:dyDescent="0.2">
      <c r="A287" s="43">
        <f>Data!A292</f>
        <v>40635</v>
      </c>
      <c r="B287" s="42">
        <f>IFERROR(AVERAGE(Data!B292), "  ")</f>
        <v>278</v>
      </c>
      <c r="C287" s="42">
        <f>IFERROR(AVERAGE(Data!C292), "  ")</f>
        <v>51</v>
      </c>
      <c r="D287" s="42">
        <f>IFERROR(AVERAGE(Data!D292), "  ")</f>
        <v>108</v>
      </c>
      <c r="E287" s="42">
        <f>IFERROR(AVERAGE(Data!E292), "  ")</f>
        <v>437</v>
      </c>
      <c r="F287" s="42">
        <f>IFERROR(AVERAGE(Data!F292), "  ")</f>
        <v>497</v>
      </c>
      <c r="G287" s="42">
        <f>IFERROR(AVERAGE(Data!G292), "  ")</f>
        <v>60</v>
      </c>
      <c r="H287" s="44">
        <f>IFERROR(AVERAGE(Data!H292), "  ")</f>
        <v>-0.24353120243531201</v>
      </c>
      <c r="I287" s="44">
        <f>IFERROR(AVERAGE(Data!I292), "  ")</f>
        <v>5.0480769230769232E-2</v>
      </c>
      <c r="J287" s="42">
        <f>IFERROR(AVERAGE(Data!J292), "  ")</f>
        <v>21</v>
      </c>
      <c r="K287" s="44">
        <f>IFERROR(AVERAGE(Data!K292), "  ")</f>
        <v>0.16941176470588235</v>
      </c>
      <c r="L287" s="45">
        <f>IFERROR(AVERAGE(Data!L292), "  ")</f>
        <v>528.66666666666663</v>
      </c>
    </row>
    <row r="288" spans="1:12" x14ac:dyDescent="0.2">
      <c r="A288" s="43">
        <f>Data!A293</f>
        <v>40642</v>
      </c>
      <c r="B288" s="42">
        <f>IFERROR(AVERAGE(Data!B293), "  ")</f>
        <v>219</v>
      </c>
      <c r="C288" s="42">
        <f>IFERROR(AVERAGE(Data!C293), "  ")</f>
        <v>14</v>
      </c>
      <c r="D288" s="42">
        <f>IFERROR(AVERAGE(Data!D293), "  ")</f>
        <v>61</v>
      </c>
      <c r="E288" s="42">
        <f>IFERROR(AVERAGE(Data!E293), "  ")</f>
        <v>294</v>
      </c>
      <c r="F288" s="42">
        <f>IFERROR(AVERAGE(Data!F293), "  ")</f>
        <v>542</v>
      </c>
      <c r="G288" s="42">
        <f>IFERROR(AVERAGE(Data!G293), "  ")</f>
        <v>248</v>
      </c>
      <c r="H288" s="44">
        <f>IFERROR(AVERAGE(Data!H293), "  ")</f>
        <v>9.0543259557344061E-2</v>
      </c>
      <c r="I288" s="44">
        <f>IFERROR(AVERAGE(Data!I293), "  ")</f>
        <v>-0.32723112128146453</v>
      </c>
      <c r="J288" s="42">
        <f>IFERROR(AVERAGE(Data!J293), "  ")</f>
        <v>-143</v>
      </c>
      <c r="K288" s="44">
        <f>IFERROR(AVERAGE(Data!K293), "  ")</f>
        <v>0.38265306122448978</v>
      </c>
      <c r="L288" s="45">
        <f>IFERROR(AVERAGE(Data!L293), "  ")</f>
        <v>483.66666666666669</v>
      </c>
    </row>
    <row r="289" spans="1:12" x14ac:dyDescent="0.2">
      <c r="A289" s="43">
        <f>Data!A294</f>
        <v>40649</v>
      </c>
      <c r="B289" s="42">
        <f>IFERROR(AVERAGE(Data!B294), "  ")</f>
        <v>282</v>
      </c>
      <c r="C289" s="42">
        <f>IFERROR(AVERAGE(Data!C294), "  ")</f>
        <v>22</v>
      </c>
      <c r="D289" s="42">
        <f>IFERROR(AVERAGE(Data!D294), "  ")</f>
        <v>54</v>
      </c>
      <c r="E289" s="42">
        <f>IFERROR(AVERAGE(Data!E294), "  ")</f>
        <v>358</v>
      </c>
      <c r="F289" s="42">
        <f>IFERROR(AVERAGE(Data!F294), "  ")</f>
        <v>447</v>
      </c>
      <c r="G289" s="42">
        <f>IFERROR(AVERAGE(Data!G294), "  ")</f>
        <v>89</v>
      </c>
      <c r="H289" s="44">
        <f>IFERROR(AVERAGE(Data!H294), "  ")</f>
        <v>-0.17527675276752769</v>
      </c>
      <c r="I289" s="44">
        <f>IFERROR(AVERAGE(Data!I294), "  ")</f>
        <v>0.21768707482993196</v>
      </c>
      <c r="J289" s="42">
        <f>IFERROR(AVERAGE(Data!J294), "  ")</f>
        <v>64</v>
      </c>
      <c r="K289" s="44">
        <f>IFERROR(AVERAGE(Data!K294), "  ")</f>
        <v>-3.0368763557483729E-2</v>
      </c>
      <c r="L289" s="45">
        <f>IFERROR(AVERAGE(Data!L294), "  ")</f>
        <v>510</v>
      </c>
    </row>
    <row r="290" spans="1:12" x14ac:dyDescent="0.2">
      <c r="A290" s="43">
        <f>Data!A295</f>
        <v>40656</v>
      </c>
      <c r="B290" s="42">
        <f>IFERROR(AVERAGE(Data!B295), "  ")</f>
        <v>208</v>
      </c>
      <c r="C290" s="42">
        <f>IFERROR(AVERAGE(Data!C295), "  ")</f>
        <v>31</v>
      </c>
      <c r="D290" s="42">
        <f>IFERROR(AVERAGE(Data!D295), "  ")</f>
        <v>62</v>
      </c>
      <c r="E290" s="42">
        <f>IFERROR(AVERAGE(Data!E295), "  ")</f>
        <v>301</v>
      </c>
      <c r="F290" s="42">
        <f>IFERROR(AVERAGE(Data!F295), "  ")</f>
        <v>302</v>
      </c>
      <c r="G290" s="42">
        <f>IFERROR(AVERAGE(Data!G295), "  ")</f>
        <v>1</v>
      </c>
      <c r="H290" s="44">
        <f>IFERROR(AVERAGE(Data!H295), "  ")</f>
        <v>-0.32438478747203581</v>
      </c>
      <c r="I290" s="44">
        <f>IFERROR(AVERAGE(Data!I295), "  ")</f>
        <v>-0.15921787709497207</v>
      </c>
      <c r="J290" s="42">
        <f>IFERROR(AVERAGE(Data!J295), "  ")</f>
        <v>-57</v>
      </c>
      <c r="K290" s="44">
        <f>IFERROR(AVERAGE(Data!K295), "  ")</f>
        <v>-5.6250000000000001E-2</v>
      </c>
      <c r="L290" s="45">
        <f>IFERROR(AVERAGE(Data!L295), "  ")</f>
        <v>341.33333333333331</v>
      </c>
    </row>
    <row r="291" spans="1:12" x14ac:dyDescent="0.2">
      <c r="A291" s="43">
        <f>Data!A296</f>
        <v>40663</v>
      </c>
      <c r="B291" s="42">
        <f>IFERROR(AVERAGE(Data!B296), "  ")</f>
        <v>139</v>
      </c>
      <c r="C291" s="42">
        <f>IFERROR(AVERAGE(Data!C296), "  ")</f>
        <v>6</v>
      </c>
      <c r="D291" s="42">
        <f>IFERROR(AVERAGE(Data!D296), "  ")</f>
        <v>17</v>
      </c>
      <c r="E291" s="42">
        <f>IFERROR(AVERAGE(Data!E296), "  ")</f>
        <v>162</v>
      </c>
      <c r="F291" s="42">
        <f>IFERROR(AVERAGE(Data!F296), "  ")</f>
        <v>390</v>
      </c>
      <c r="G291" s="42">
        <f>IFERROR(AVERAGE(Data!G296), "  ")</f>
        <v>228</v>
      </c>
      <c r="H291" s="44">
        <f>IFERROR(AVERAGE(Data!H296), "  ")</f>
        <v>0.29139072847682118</v>
      </c>
      <c r="I291" s="44">
        <f>IFERROR(AVERAGE(Data!I296), "  ")</f>
        <v>-0.46179401993355484</v>
      </c>
      <c r="J291" s="42">
        <f>IFERROR(AVERAGE(Data!J296), "  ")</f>
        <v>-139</v>
      </c>
      <c r="K291" s="44">
        <f>IFERROR(AVERAGE(Data!K296), "  ")</f>
        <v>0.27868852459016391</v>
      </c>
      <c r="L291" s="45">
        <f>IFERROR(AVERAGE(Data!L296), "  ")</f>
        <v>410.33333333333331</v>
      </c>
    </row>
    <row r="292" spans="1:12" x14ac:dyDescent="0.2">
      <c r="A292" s="43">
        <f>Data!A297</f>
        <v>40670</v>
      </c>
      <c r="B292" s="42">
        <f>IFERROR(AVERAGE(Data!B297), "  ")</f>
        <v>182</v>
      </c>
      <c r="C292" s="42">
        <f>IFERROR(AVERAGE(Data!C297), "  ")</f>
        <v>0</v>
      </c>
      <c r="D292" s="42">
        <f>IFERROR(AVERAGE(Data!D297), "  ")</f>
        <v>2</v>
      </c>
      <c r="E292" s="42">
        <f>IFERROR(AVERAGE(Data!E297), "  ")</f>
        <v>184</v>
      </c>
      <c r="F292" s="42">
        <f>IFERROR(AVERAGE(Data!F297), "  ")</f>
        <v>340</v>
      </c>
      <c r="G292" s="42">
        <f>IFERROR(AVERAGE(Data!G297), "  ")</f>
        <v>156</v>
      </c>
      <c r="H292" s="44">
        <f>IFERROR(AVERAGE(Data!H297), "  ")</f>
        <v>-0.12820512820512819</v>
      </c>
      <c r="I292" s="44">
        <f>IFERROR(AVERAGE(Data!I297), "  ")</f>
        <v>0.13580246913580246</v>
      </c>
      <c r="J292" s="42">
        <f>IFERROR(AVERAGE(Data!J297), "  ")</f>
        <v>22</v>
      </c>
      <c r="K292" s="44">
        <f>IFERROR(AVERAGE(Data!K297), "  ")</f>
        <v>-0.27505330490405117</v>
      </c>
      <c r="L292" s="45">
        <f>IFERROR(AVERAGE(Data!L297), "  ")</f>
        <v>455</v>
      </c>
    </row>
    <row r="293" spans="1:12" x14ac:dyDescent="0.2">
      <c r="A293" s="43">
        <f>Data!A298</f>
        <v>40677</v>
      </c>
      <c r="B293" s="42">
        <f>IFERROR(AVERAGE(Data!B298), "  ")</f>
        <v>317</v>
      </c>
      <c r="C293" s="42">
        <f>IFERROR(AVERAGE(Data!C298), "  ")</f>
        <v>0</v>
      </c>
      <c r="D293" s="42">
        <f>IFERROR(AVERAGE(Data!D298), "  ")</f>
        <v>7</v>
      </c>
      <c r="E293" s="42">
        <f>IFERROR(AVERAGE(Data!E298), "  ")</f>
        <v>324</v>
      </c>
      <c r="F293" s="42">
        <f>IFERROR(AVERAGE(Data!F298), "  ")</f>
        <v>268</v>
      </c>
      <c r="G293" s="42">
        <f>IFERROR(AVERAGE(Data!G298), "  ")</f>
        <v>-56</v>
      </c>
      <c r="H293" s="44">
        <f>IFERROR(AVERAGE(Data!H298), "  ")</f>
        <v>-0.21176470588235294</v>
      </c>
      <c r="I293" s="44">
        <f>IFERROR(AVERAGE(Data!I298), "  ")</f>
        <v>0.76086956521739135</v>
      </c>
      <c r="J293" s="42">
        <f>IFERROR(AVERAGE(Data!J298), "  ")</f>
        <v>140</v>
      </c>
      <c r="K293" s="44">
        <f>IFERROR(AVERAGE(Data!K298), "  ")</f>
        <v>-0.4875717017208413</v>
      </c>
      <c r="L293" s="45">
        <f>IFERROR(AVERAGE(Data!L298), "  ")</f>
        <v>456.33333333333331</v>
      </c>
    </row>
    <row r="294" spans="1:12" x14ac:dyDescent="0.2">
      <c r="A294" s="43">
        <f>Data!A299</f>
        <v>40684</v>
      </c>
      <c r="B294" s="42">
        <f>IFERROR(AVERAGE(Data!B299), "  ")</f>
        <v>376</v>
      </c>
      <c r="C294" s="42">
        <f>IFERROR(AVERAGE(Data!C299), "  ")</f>
        <v>0</v>
      </c>
      <c r="D294" s="42">
        <f>IFERROR(AVERAGE(Data!D299), "  ")</f>
        <v>98</v>
      </c>
      <c r="E294" s="42">
        <f>IFERROR(AVERAGE(Data!E299), "  ")</f>
        <v>474</v>
      </c>
      <c r="F294" s="42">
        <f>IFERROR(AVERAGE(Data!F299), "  ")</f>
        <v>368</v>
      </c>
      <c r="G294" s="42">
        <f>IFERROR(AVERAGE(Data!G299), "  ")</f>
        <v>-106</v>
      </c>
      <c r="H294" s="44">
        <f>IFERROR(AVERAGE(Data!H299), "  ")</f>
        <v>0.37313432835820898</v>
      </c>
      <c r="I294" s="44">
        <f>IFERROR(AVERAGE(Data!I299), "  ")</f>
        <v>0.46296296296296297</v>
      </c>
      <c r="J294" s="42">
        <f>IFERROR(AVERAGE(Data!J299), "  ")</f>
        <v>150</v>
      </c>
      <c r="K294" s="44">
        <f>IFERROR(AVERAGE(Data!K299), "  ")</f>
        <v>-0.28265107212475632</v>
      </c>
      <c r="L294" s="45">
        <f>IFERROR(AVERAGE(Data!L299), "  ")</f>
        <v>476.33333333333331</v>
      </c>
    </row>
    <row r="295" spans="1:12" x14ac:dyDescent="0.2">
      <c r="A295" s="43">
        <f>Data!A300</f>
        <v>40691</v>
      </c>
      <c r="B295" s="42">
        <f>IFERROR(AVERAGE(Data!B300), "  ")</f>
        <v>332</v>
      </c>
      <c r="C295" s="42">
        <f>IFERROR(AVERAGE(Data!C300), "  ")</f>
        <v>49</v>
      </c>
      <c r="D295" s="42">
        <f>IFERROR(AVERAGE(Data!D300), "  ")</f>
        <v>64</v>
      </c>
      <c r="E295" s="42">
        <f>IFERROR(AVERAGE(Data!E300), "  ")</f>
        <v>445</v>
      </c>
      <c r="F295" s="42">
        <f>IFERROR(AVERAGE(Data!F300), "  ")</f>
        <v>366</v>
      </c>
      <c r="G295" s="42">
        <f>IFERROR(AVERAGE(Data!G300), "  ")</f>
        <v>-79</v>
      </c>
      <c r="H295" s="44">
        <f>IFERROR(AVERAGE(Data!H300), "  ")</f>
        <v>-5.434782608695652E-3</v>
      </c>
      <c r="I295" s="44">
        <f>IFERROR(AVERAGE(Data!I300), "  ")</f>
        <v>-6.118143459915612E-2</v>
      </c>
      <c r="J295" s="42">
        <f>IFERROR(AVERAGE(Data!J300), "  ")</f>
        <v>-29</v>
      </c>
      <c r="K295" s="44">
        <f>IFERROR(AVERAGE(Data!K300), "  ")</f>
        <v>-0.27380952380952384</v>
      </c>
      <c r="L295" s="45">
        <f>IFERROR(AVERAGE(Data!L300), "  ")</f>
        <v>481.66666666666669</v>
      </c>
    </row>
    <row r="296" spans="1:12" x14ac:dyDescent="0.2">
      <c r="A296" s="43">
        <f>Data!A301</f>
        <v>40698</v>
      </c>
      <c r="B296" s="42">
        <f>IFERROR(AVERAGE(Data!B301), "  ")</f>
        <v>283</v>
      </c>
      <c r="C296" s="42">
        <f>IFERROR(AVERAGE(Data!C301), "  ")</f>
        <v>7</v>
      </c>
      <c r="D296" s="42">
        <f>IFERROR(AVERAGE(Data!D301), "  ")</f>
        <v>56</v>
      </c>
      <c r="E296" s="42">
        <f>IFERROR(AVERAGE(Data!E301), "  ")</f>
        <v>346</v>
      </c>
      <c r="F296" s="42">
        <f>IFERROR(AVERAGE(Data!F301), "  ")</f>
        <v>319</v>
      </c>
      <c r="G296" s="42">
        <f>IFERROR(AVERAGE(Data!G301), "  ")</f>
        <v>-27</v>
      </c>
      <c r="H296" s="44">
        <f>IFERROR(AVERAGE(Data!H301), "  ")</f>
        <v>-0.12841530054644809</v>
      </c>
      <c r="I296" s="44">
        <f>IFERROR(AVERAGE(Data!I301), "  ")</f>
        <v>-0.22247191011235956</v>
      </c>
      <c r="J296" s="42">
        <f>IFERROR(AVERAGE(Data!J301), "  ")</f>
        <v>-99</v>
      </c>
      <c r="K296" s="44">
        <f>IFERROR(AVERAGE(Data!K301), "  ")</f>
        <v>-0.41894353369763204</v>
      </c>
      <c r="L296" s="45">
        <f>IFERROR(AVERAGE(Data!L301), "  ")</f>
        <v>507.33333333333331</v>
      </c>
    </row>
    <row r="297" spans="1:12" x14ac:dyDescent="0.2">
      <c r="A297" s="43">
        <f>Data!A302</f>
        <v>40705</v>
      </c>
      <c r="B297" s="42">
        <f>IFERROR(AVERAGE(Data!B302), "  ")</f>
        <v>308</v>
      </c>
      <c r="C297" s="42">
        <f>IFERROR(AVERAGE(Data!C302), "  ")</f>
        <v>24</v>
      </c>
      <c r="D297" s="42">
        <f>IFERROR(AVERAGE(Data!D302), "  ")</f>
        <v>37</v>
      </c>
      <c r="E297" s="42">
        <f>IFERROR(AVERAGE(Data!E302), "  ")</f>
        <v>369</v>
      </c>
      <c r="F297" s="42">
        <f>IFERROR(AVERAGE(Data!F302), "  ")</f>
        <v>297</v>
      </c>
      <c r="G297" s="42">
        <f>IFERROR(AVERAGE(Data!G302), "  ")</f>
        <v>-72</v>
      </c>
      <c r="H297" s="44">
        <f>IFERROR(AVERAGE(Data!H302), "  ")</f>
        <v>-6.8965517241379309E-2</v>
      </c>
      <c r="I297" s="44">
        <f>IFERROR(AVERAGE(Data!I302), "  ")</f>
        <v>6.6473988439306353E-2</v>
      </c>
      <c r="J297" s="42">
        <f>IFERROR(AVERAGE(Data!J302), "  ")</f>
        <v>23</v>
      </c>
      <c r="K297" s="44">
        <f>IFERROR(AVERAGE(Data!K302), "  ")</f>
        <v>-0.36266094420600858</v>
      </c>
      <c r="L297" s="45">
        <f>IFERROR(AVERAGE(Data!L302), "  ")</f>
        <v>541</v>
      </c>
    </row>
    <row r="298" spans="1:12" x14ac:dyDescent="0.2">
      <c r="A298" s="43">
        <f>Data!A303</f>
        <v>40712</v>
      </c>
      <c r="B298" s="42">
        <f>IFERROR(AVERAGE(Data!B303), "  ")</f>
        <v>192</v>
      </c>
      <c r="C298" s="42">
        <f>IFERROR(AVERAGE(Data!C303), "  ")</f>
        <v>15</v>
      </c>
      <c r="D298" s="42">
        <f>IFERROR(AVERAGE(Data!D303), "  ")</f>
        <v>25</v>
      </c>
      <c r="E298" s="42">
        <f>IFERROR(AVERAGE(Data!E303), "  ")</f>
        <v>232</v>
      </c>
      <c r="F298" s="42">
        <f>IFERROR(AVERAGE(Data!F303), "  ")</f>
        <v>365</v>
      </c>
      <c r="G298" s="42">
        <f>IFERROR(AVERAGE(Data!G303), "  ")</f>
        <v>133</v>
      </c>
      <c r="H298" s="44">
        <f>IFERROR(AVERAGE(Data!H303), "  ")</f>
        <v>0.22895622895622897</v>
      </c>
      <c r="I298" s="44">
        <f>IFERROR(AVERAGE(Data!I303), "  ")</f>
        <v>-0.37127371273712739</v>
      </c>
      <c r="J298" s="42">
        <f>IFERROR(AVERAGE(Data!J303), "  ")</f>
        <v>-137</v>
      </c>
      <c r="K298" s="44">
        <f>IFERROR(AVERAGE(Data!K303), "  ")</f>
        <v>-0.20131291028446391</v>
      </c>
      <c r="L298" s="45">
        <f>IFERROR(AVERAGE(Data!L303), "  ")</f>
        <v>544.33333333333337</v>
      </c>
    </row>
    <row r="299" spans="1:12" x14ac:dyDescent="0.2">
      <c r="A299" s="43">
        <f>Data!A304</f>
        <v>40719</v>
      </c>
      <c r="B299" s="42">
        <f>IFERROR(AVERAGE(Data!B304), "  ")</f>
        <v>268</v>
      </c>
      <c r="C299" s="42">
        <f>IFERROR(AVERAGE(Data!C304), "  ")</f>
        <v>24</v>
      </c>
      <c r="D299" s="42">
        <f>IFERROR(AVERAGE(Data!D304), "  ")</f>
        <v>32</v>
      </c>
      <c r="E299" s="42">
        <f>IFERROR(AVERAGE(Data!E304), "  ")</f>
        <v>324</v>
      </c>
      <c r="F299" s="42">
        <f>IFERROR(AVERAGE(Data!F304), "  ")</f>
        <v>416</v>
      </c>
      <c r="G299" s="42">
        <f>IFERROR(AVERAGE(Data!G304), "  ")</f>
        <v>92</v>
      </c>
      <c r="H299" s="44">
        <f>IFERROR(AVERAGE(Data!H304), "  ")</f>
        <v>0.13972602739726028</v>
      </c>
      <c r="I299" s="44">
        <f>IFERROR(AVERAGE(Data!I304), "  ")</f>
        <v>0.39655172413793105</v>
      </c>
      <c r="J299" s="42">
        <f>IFERROR(AVERAGE(Data!J304), "  ")</f>
        <v>92</v>
      </c>
      <c r="K299" s="44">
        <f>IFERROR(AVERAGE(Data!K304), "  ")</f>
        <v>-0.15789473684210525</v>
      </c>
      <c r="L299" s="45">
        <f>IFERROR(AVERAGE(Data!L304), "  ")</f>
        <v>508</v>
      </c>
    </row>
    <row r="300" spans="1:12" x14ac:dyDescent="0.2">
      <c r="A300" s="43">
        <f>Data!A305</f>
        <v>40726</v>
      </c>
      <c r="B300" s="42">
        <f>IFERROR(AVERAGE(Data!B305), "  ")</f>
        <v>371</v>
      </c>
      <c r="C300" s="42">
        <f>IFERROR(AVERAGE(Data!C305), "  ")</f>
        <v>25</v>
      </c>
      <c r="D300" s="42">
        <f>IFERROR(AVERAGE(Data!D305), "  ")</f>
        <v>50</v>
      </c>
      <c r="E300" s="42">
        <f>IFERROR(AVERAGE(Data!E305), "  ")</f>
        <v>446</v>
      </c>
      <c r="F300" s="42">
        <f>IFERROR(AVERAGE(Data!F305), "  ")</f>
        <v>415</v>
      </c>
      <c r="G300" s="42">
        <f>IFERROR(AVERAGE(Data!G305), "  ")</f>
        <v>-31</v>
      </c>
      <c r="H300" s="44">
        <f>IFERROR(AVERAGE(Data!H305), "  ")</f>
        <v>-2.403846153846154E-3</v>
      </c>
      <c r="I300" s="44">
        <f>IFERROR(AVERAGE(Data!I305), "  ")</f>
        <v>0.37654320987654322</v>
      </c>
      <c r="J300" s="42">
        <f>IFERROR(AVERAGE(Data!J305), "  ")</f>
        <v>122</v>
      </c>
      <c r="K300" s="44">
        <f>IFERROR(AVERAGE(Data!K305), "  ")</f>
        <v>-8.3885209713024281E-2</v>
      </c>
      <c r="L300" s="45">
        <f>IFERROR(AVERAGE(Data!L305), "  ")</f>
        <v>480</v>
      </c>
    </row>
    <row r="301" spans="1:12" x14ac:dyDescent="0.2">
      <c r="A301" s="43">
        <f>Data!A306</f>
        <v>40733</v>
      </c>
      <c r="B301" s="42">
        <f>IFERROR(AVERAGE(Data!B306), "  ")</f>
        <v>351</v>
      </c>
      <c r="C301" s="42">
        <f>IFERROR(AVERAGE(Data!C306), "  ")</f>
        <v>11</v>
      </c>
      <c r="D301" s="42">
        <f>IFERROR(AVERAGE(Data!D306), "  ")</f>
        <v>64</v>
      </c>
      <c r="E301" s="42">
        <f>IFERROR(AVERAGE(Data!E306), "  ")</f>
        <v>426</v>
      </c>
      <c r="F301" s="42">
        <f>IFERROR(AVERAGE(Data!F306), "  ")</f>
        <v>435</v>
      </c>
      <c r="G301" s="42">
        <f>IFERROR(AVERAGE(Data!G306), "  ")</f>
        <v>9</v>
      </c>
      <c r="H301" s="44">
        <f>IFERROR(AVERAGE(Data!H306), "  ")</f>
        <v>4.8192771084337352E-2</v>
      </c>
      <c r="I301" s="44">
        <f>IFERROR(AVERAGE(Data!I306), "  ")</f>
        <v>-4.4843049327354258E-2</v>
      </c>
      <c r="J301" s="42">
        <f>IFERROR(AVERAGE(Data!J306), "  ")</f>
        <v>-20</v>
      </c>
      <c r="K301" s="44">
        <f>IFERROR(AVERAGE(Data!K306), "  ")</f>
        <v>-0.11224489795918367</v>
      </c>
      <c r="L301" s="45">
        <f>IFERROR(AVERAGE(Data!L306), "  ")</f>
        <v>484</v>
      </c>
    </row>
    <row r="302" spans="1:12" x14ac:dyDescent="0.2">
      <c r="A302" s="43">
        <f>Data!A307</f>
        <v>40740</v>
      </c>
      <c r="B302" s="42">
        <f>IFERROR(AVERAGE(Data!B307), "  ")</f>
        <v>392</v>
      </c>
      <c r="C302" s="42">
        <f>IFERROR(AVERAGE(Data!C307), "  ")</f>
        <v>24</v>
      </c>
      <c r="D302" s="42">
        <f>IFERROR(AVERAGE(Data!D307), "  ")</f>
        <v>47</v>
      </c>
      <c r="E302" s="42">
        <f>IFERROR(AVERAGE(Data!E307), "  ")</f>
        <v>463</v>
      </c>
      <c r="F302" s="42">
        <f>IFERROR(AVERAGE(Data!F307), "  ")</f>
        <v>495</v>
      </c>
      <c r="G302" s="42">
        <f>IFERROR(AVERAGE(Data!G307), "  ")</f>
        <v>32</v>
      </c>
      <c r="H302" s="44">
        <f>IFERROR(AVERAGE(Data!H307), "  ")</f>
        <v>0.13793103448275862</v>
      </c>
      <c r="I302" s="44">
        <f>IFERROR(AVERAGE(Data!I307), "  ")</f>
        <v>8.6854460093896718E-2</v>
      </c>
      <c r="J302" s="42">
        <f>IFERROR(AVERAGE(Data!J307), "  ")</f>
        <v>37</v>
      </c>
      <c r="K302" s="44">
        <f>IFERROR(AVERAGE(Data!K307), "  ")</f>
        <v>-6.0721062618595827E-2</v>
      </c>
      <c r="L302" s="45">
        <f>IFERROR(AVERAGE(Data!L307), "  ")</f>
        <v>494</v>
      </c>
    </row>
    <row r="303" spans="1:12" x14ac:dyDescent="0.2">
      <c r="A303" s="43">
        <f>Data!A308</f>
        <v>40747</v>
      </c>
      <c r="B303" s="42">
        <f>IFERROR(AVERAGE(Data!B308), "  ")</f>
        <v>379</v>
      </c>
      <c r="C303" s="42">
        <f>IFERROR(AVERAGE(Data!C308), "  ")</f>
        <v>25</v>
      </c>
      <c r="D303" s="42">
        <f>IFERROR(AVERAGE(Data!D308), "  ")</f>
        <v>37</v>
      </c>
      <c r="E303" s="42">
        <f>IFERROR(AVERAGE(Data!E308), "  ")</f>
        <v>441</v>
      </c>
      <c r="F303" s="42">
        <f>IFERROR(AVERAGE(Data!F308), "  ")</f>
        <v>449</v>
      </c>
      <c r="G303" s="42">
        <f>IFERROR(AVERAGE(Data!G308), "  ")</f>
        <v>8</v>
      </c>
      <c r="H303" s="44">
        <f>IFERROR(AVERAGE(Data!H308), "  ")</f>
        <v>-9.2929292929292931E-2</v>
      </c>
      <c r="I303" s="44">
        <f>IFERROR(AVERAGE(Data!I308), "  ")</f>
        <v>-4.7516198704103674E-2</v>
      </c>
      <c r="J303" s="42">
        <f>IFERROR(AVERAGE(Data!J308), "  ")</f>
        <v>-22</v>
      </c>
      <c r="K303" s="44">
        <f>IFERROR(AVERAGE(Data!K308), "  ")</f>
        <v>9.5121951219512196E-2</v>
      </c>
      <c r="L303" s="45">
        <f>IFERROR(AVERAGE(Data!L308), "  ")</f>
        <v>491.66666666666669</v>
      </c>
    </row>
    <row r="304" spans="1:12" x14ac:dyDescent="0.2">
      <c r="A304" s="43">
        <f>Data!A309</f>
        <v>40754</v>
      </c>
      <c r="B304" s="42">
        <f>IFERROR(AVERAGE(Data!B309), "  ")</f>
        <v>430</v>
      </c>
      <c r="C304" s="42">
        <f>IFERROR(AVERAGE(Data!C309), "  ")</f>
        <v>28</v>
      </c>
      <c r="D304" s="42">
        <f>IFERROR(AVERAGE(Data!D309), "  ")</f>
        <v>48</v>
      </c>
      <c r="E304" s="42">
        <f>IFERROR(AVERAGE(Data!E309), "  ")</f>
        <v>506</v>
      </c>
      <c r="F304" s="42">
        <f>IFERROR(AVERAGE(Data!F309), "  ")</f>
        <v>386</v>
      </c>
      <c r="G304" s="42">
        <f>IFERROR(AVERAGE(Data!G309), "  ")</f>
        <v>-120</v>
      </c>
      <c r="H304" s="44">
        <f>IFERROR(AVERAGE(Data!H309), "  ")</f>
        <v>-0.14031180400890869</v>
      </c>
      <c r="I304" s="44">
        <f>IFERROR(AVERAGE(Data!I309), "  ")</f>
        <v>0.14739229024943309</v>
      </c>
      <c r="J304" s="42">
        <f>IFERROR(AVERAGE(Data!J309), "  ")</f>
        <v>65</v>
      </c>
      <c r="K304" s="44">
        <f>IFERROR(AVERAGE(Data!K309), "  ")</f>
        <v>6.043956043956044E-2</v>
      </c>
      <c r="L304" s="45">
        <f>IFERROR(AVERAGE(Data!L309), "  ")</f>
        <v>434.33333333333331</v>
      </c>
    </row>
    <row r="305" spans="1:12" x14ac:dyDescent="0.2">
      <c r="A305" s="43">
        <f>Data!A310</f>
        <v>40761</v>
      </c>
      <c r="B305" s="42">
        <f>IFERROR(AVERAGE(Data!B310), "  ")</f>
        <v>344</v>
      </c>
      <c r="C305" s="42">
        <f>IFERROR(AVERAGE(Data!C310), "  ")</f>
        <v>19</v>
      </c>
      <c r="D305" s="42">
        <f>IFERROR(AVERAGE(Data!D310), "  ")</f>
        <v>36</v>
      </c>
      <c r="E305" s="42">
        <f>IFERROR(AVERAGE(Data!E310), "  ")</f>
        <v>399</v>
      </c>
      <c r="F305" s="42">
        <f>IFERROR(AVERAGE(Data!F310), "  ")</f>
        <v>473</v>
      </c>
      <c r="G305" s="42">
        <f>IFERROR(AVERAGE(Data!G310), "  ")</f>
        <v>74</v>
      </c>
      <c r="H305" s="44">
        <f>IFERROR(AVERAGE(Data!H310), "  ")</f>
        <v>0.22538860103626943</v>
      </c>
      <c r="I305" s="44">
        <f>IFERROR(AVERAGE(Data!I310), "  ")</f>
        <v>-0.21146245059288538</v>
      </c>
      <c r="J305" s="42">
        <f>IFERROR(AVERAGE(Data!J310), "  ")</f>
        <v>-107</v>
      </c>
      <c r="K305" s="44">
        <f>IFERROR(AVERAGE(Data!K310), "  ")</f>
        <v>3.9560439560439559E-2</v>
      </c>
      <c r="L305" s="45">
        <f>IFERROR(AVERAGE(Data!L310), "  ")</f>
        <v>552.66666666666663</v>
      </c>
    </row>
    <row r="306" spans="1:12" x14ac:dyDescent="0.2">
      <c r="A306" s="43">
        <f>Data!A311</f>
        <v>40768</v>
      </c>
      <c r="B306" s="42">
        <f>IFERROR(AVERAGE(Data!B311), "  ")</f>
        <v>307</v>
      </c>
      <c r="C306" s="42">
        <f>IFERROR(AVERAGE(Data!C311), "  ")</f>
        <v>22</v>
      </c>
      <c r="D306" s="42">
        <f>IFERROR(AVERAGE(Data!D311), "  ")</f>
        <v>23</v>
      </c>
      <c r="E306" s="42">
        <f>IFERROR(AVERAGE(Data!E311), "  ")</f>
        <v>352</v>
      </c>
      <c r="F306" s="42">
        <f>IFERROR(AVERAGE(Data!F311), "  ")</f>
        <v>532</v>
      </c>
      <c r="G306" s="42">
        <f>IFERROR(AVERAGE(Data!G311), "  ")</f>
        <v>180</v>
      </c>
      <c r="H306" s="44">
        <f>IFERROR(AVERAGE(Data!H311), "  ")</f>
        <v>0.12473572938689217</v>
      </c>
      <c r="I306" s="44">
        <f>IFERROR(AVERAGE(Data!I311), "  ")</f>
        <v>-0.11779448621553884</v>
      </c>
      <c r="J306" s="42">
        <f>IFERROR(AVERAGE(Data!J311), "  ")</f>
        <v>-47</v>
      </c>
      <c r="K306" s="44">
        <f>IFERROR(AVERAGE(Data!K311), "  ")</f>
        <v>5.1383399209486168E-2</v>
      </c>
      <c r="L306" s="45">
        <f>IFERROR(AVERAGE(Data!L311), "  ")</f>
        <v>511</v>
      </c>
    </row>
    <row r="307" spans="1:12" x14ac:dyDescent="0.2">
      <c r="A307" s="43">
        <f>Data!A312</f>
        <v>40775</v>
      </c>
      <c r="B307" s="42">
        <f>IFERROR(AVERAGE(Data!B312), "  ")</f>
        <v>333</v>
      </c>
      <c r="C307" s="42">
        <f>IFERROR(AVERAGE(Data!C312), "  ")</f>
        <v>15</v>
      </c>
      <c r="D307" s="42">
        <f>IFERROR(AVERAGE(Data!D312), "  ")</f>
        <v>40</v>
      </c>
      <c r="E307" s="42">
        <f>IFERROR(AVERAGE(Data!E312), "  ")</f>
        <v>388</v>
      </c>
      <c r="F307" s="42">
        <f>IFERROR(AVERAGE(Data!F312), "  ")</f>
        <v>433</v>
      </c>
      <c r="G307" s="42">
        <f>IFERROR(AVERAGE(Data!G312), "  ")</f>
        <v>45</v>
      </c>
      <c r="H307" s="44">
        <f>IFERROR(AVERAGE(Data!H312), "  ")</f>
        <v>-0.18609022556390978</v>
      </c>
      <c r="I307" s="44">
        <f>IFERROR(AVERAGE(Data!I312), "  ")</f>
        <v>0.10227272727272728</v>
      </c>
      <c r="J307" s="42">
        <f>IFERROR(AVERAGE(Data!J312), "  ")</f>
        <v>36</v>
      </c>
      <c r="K307" s="44">
        <f>IFERROR(AVERAGE(Data!K312), "  ")</f>
        <v>-0.17992424242424243</v>
      </c>
      <c r="L307" s="45">
        <f>IFERROR(AVERAGE(Data!L312), "  ")</f>
        <v>532.33333333333337</v>
      </c>
    </row>
    <row r="308" spans="1:12" x14ac:dyDescent="0.2">
      <c r="A308" s="43">
        <f>Data!A313</f>
        <v>40782</v>
      </c>
      <c r="B308" s="42">
        <f>IFERROR(AVERAGE(Data!B313), "  ")</f>
        <v>233</v>
      </c>
      <c r="C308" s="42">
        <f>IFERROR(AVERAGE(Data!C313), "  ")</f>
        <v>19</v>
      </c>
      <c r="D308" s="42">
        <f>IFERROR(AVERAGE(Data!D313), "  ")</f>
        <v>38</v>
      </c>
      <c r="E308" s="42">
        <f>IFERROR(AVERAGE(Data!E313), "  ")</f>
        <v>290</v>
      </c>
      <c r="F308" s="42">
        <f>IFERROR(AVERAGE(Data!F313), "  ")</f>
        <v>489</v>
      </c>
      <c r="G308" s="42">
        <f>IFERROR(AVERAGE(Data!G313), "  ")</f>
        <v>199</v>
      </c>
      <c r="H308" s="44">
        <f>IFERROR(AVERAGE(Data!H313), "  ")</f>
        <v>0.12933025404157045</v>
      </c>
      <c r="I308" s="44">
        <f>IFERROR(AVERAGE(Data!I313), "  ")</f>
        <v>-0.25257731958762886</v>
      </c>
      <c r="J308" s="42">
        <f>IFERROR(AVERAGE(Data!J313), "  ")</f>
        <v>-98</v>
      </c>
      <c r="K308" s="44">
        <f>IFERROR(AVERAGE(Data!K313), "  ")</f>
        <v>8.666666666666667E-2</v>
      </c>
      <c r="L308" s="45">
        <f>IFERROR(AVERAGE(Data!L313), "  ")</f>
        <v>449.66666666666669</v>
      </c>
    </row>
    <row r="309" spans="1:12" x14ac:dyDescent="0.2">
      <c r="A309" s="43">
        <f>Data!A314</f>
        <v>40789</v>
      </c>
      <c r="B309" s="42">
        <f>IFERROR(AVERAGE(Data!B314), "  ")</f>
        <v>174</v>
      </c>
      <c r="C309" s="42">
        <f>IFERROR(AVERAGE(Data!C314), "  ")</f>
        <v>30</v>
      </c>
      <c r="D309" s="42">
        <f>IFERROR(AVERAGE(Data!D314), "  ")</f>
        <v>25</v>
      </c>
      <c r="E309" s="42">
        <f>IFERROR(AVERAGE(Data!E314), "  ")</f>
        <v>229</v>
      </c>
      <c r="F309" s="42">
        <f>IFERROR(AVERAGE(Data!F314), "  ")</f>
        <v>341</v>
      </c>
      <c r="G309" s="42">
        <f>IFERROR(AVERAGE(Data!G314), "  ")</f>
        <v>112</v>
      </c>
      <c r="H309" s="44">
        <f>IFERROR(AVERAGE(Data!H314), "  ")</f>
        <v>-0.30265848670756645</v>
      </c>
      <c r="I309" s="44">
        <f>IFERROR(AVERAGE(Data!I314), "  ")</f>
        <v>-0.2103448275862069</v>
      </c>
      <c r="J309" s="42">
        <f>IFERROR(AVERAGE(Data!J314), "  ")</f>
        <v>-61</v>
      </c>
      <c r="K309" s="44">
        <f>IFERROR(AVERAGE(Data!K314), "  ")</f>
        <v>-0.36499068901303539</v>
      </c>
      <c r="L309" s="45">
        <f>IFERROR(AVERAGE(Data!L314), "  ")</f>
        <v>395</v>
      </c>
    </row>
    <row r="310" spans="1:12" x14ac:dyDescent="0.2">
      <c r="A310" s="43">
        <f>Data!A315</f>
        <v>40796</v>
      </c>
      <c r="B310" s="42">
        <f>IFERROR(AVERAGE(Data!B315), "  ")</f>
        <v>171</v>
      </c>
      <c r="C310" s="42">
        <f>IFERROR(AVERAGE(Data!C315), "  ")</f>
        <v>15</v>
      </c>
      <c r="D310" s="42">
        <f>IFERROR(AVERAGE(Data!D315), "  ")</f>
        <v>31</v>
      </c>
      <c r="E310" s="42">
        <f>IFERROR(AVERAGE(Data!E315), "  ")</f>
        <v>217</v>
      </c>
      <c r="F310" s="42">
        <f>IFERROR(AVERAGE(Data!F315), "  ")</f>
        <v>420</v>
      </c>
      <c r="G310" s="42">
        <f>IFERROR(AVERAGE(Data!G315), "  ")</f>
        <v>203</v>
      </c>
      <c r="H310" s="44">
        <f>IFERROR(AVERAGE(Data!H315), "  ")</f>
        <v>0.2316715542521994</v>
      </c>
      <c r="I310" s="44">
        <f>IFERROR(AVERAGE(Data!I315), "  ")</f>
        <v>-5.2401746724890827E-2</v>
      </c>
      <c r="J310" s="42">
        <f>IFERROR(AVERAGE(Data!J315), "  ")</f>
        <v>-12</v>
      </c>
      <c r="K310" s="44">
        <f>IFERROR(AVERAGE(Data!K315), "  ")</f>
        <v>-1.8691588785046728E-2</v>
      </c>
      <c r="L310" s="45">
        <f>IFERROR(AVERAGE(Data!L315), "  ")</f>
        <v>454.66666666666669</v>
      </c>
    </row>
    <row r="311" spans="1:12" x14ac:dyDescent="0.2">
      <c r="A311" s="43">
        <f>Data!A316</f>
        <v>40803</v>
      </c>
      <c r="B311" s="42">
        <f>IFERROR(AVERAGE(Data!B316), "  ")</f>
        <v>97</v>
      </c>
      <c r="C311" s="42">
        <f>IFERROR(AVERAGE(Data!C316), "  ")</f>
        <v>27</v>
      </c>
      <c r="D311" s="42">
        <f>IFERROR(AVERAGE(Data!D316), "  ")</f>
        <v>78</v>
      </c>
      <c r="E311" s="42">
        <f>IFERROR(AVERAGE(Data!E316), "  ")</f>
        <v>202</v>
      </c>
      <c r="F311" s="42">
        <f>IFERROR(AVERAGE(Data!F316), "  ")</f>
        <v>389</v>
      </c>
      <c r="G311" s="42">
        <f>IFERROR(AVERAGE(Data!G316), "  ")</f>
        <v>187</v>
      </c>
      <c r="H311" s="44">
        <f>IFERROR(AVERAGE(Data!H316), "  ")</f>
        <v>-7.3809523809523811E-2</v>
      </c>
      <c r="I311" s="44">
        <f>IFERROR(AVERAGE(Data!I316), "  ")</f>
        <v>-6.9124423963133647E-2</v>
      </c>
      <c r="J311" s="42">
        <f>IFERROR(AVERAGE(Data!J316), "  ")</f>
        <v>-15</v>
      </c>
      <c r="K311" s="44">
        <f>IFERROR(AVERAGE(Data!K316), "  ")</f>
        <v>-0.28884826325411334</v>
      </c>
      <c r="L311" s="45">
        <f>IFERROR(AVERAGE(Data!L316), "  ")</f>
        <v>552.33333333333337</v>
      </c>
    </row>
    <row r="312" spans="1:12" x14ac:dyDescent="0.2">
      <c r="A312" s="43">
        <f>Data!A317</f>
        <v>40810</v>
      </c>
      <c r="B312" s="42">
        <f>IFERROR(AVERAGE(Data!B317), "  ")</f>
        <v>93</v>
      </c>
      <c r="C312" s="42">
        <f>IFERROR(AVERAGE(Data!C317), "  ")</f>
        <v>17</v>
      </c>
      <c r="D312" s="42">
        <f>IFERROR(AVERAGE(Data!D317), "  ")</f>
        <v>76</v>
      </c>
      <c r="E312" s="42">
        <f>IFERROR(AVERAGE(Data!E317), "  ")</f>
        <v>186</v>
      </c>
      <c r="F312" s="42">
        <f>IFERROR(AVERAGE(Data!F317), "  ")</f>
        <v>504</v>
      </c>
      <c r="G312" s="42">
        <f>IFERROR(AVERAGE(Data!G317), "  ")</f>
        <v>318</v>
      </c>
      <c r="H312" s="44">
        <f>IFERROR(AVERAGE(Data!H317), "  ")</f>
        <v>0.29562982005141386</v>
      </c>
      <c r="I312" s="44">
        <f>IFERROR(AVERAGE(Data!I317), "  ")</f>
        <v>-7.9207920792079209E-2</v>
      </c>
      <c r="J312" s="42">
        <f>IFERROR(AVERAGE(Data!J317), "  ")</f>
        <v>-16</v>
      </c>
      <c r="K312" s="44">
        <f>IFERROR(AVERAGE(Data!K317), "  ")</f>
        <v>-0.19617224880382775</v>
      </c>
      <c r="L312" s="45">
        <f>IFERROR(AVERAGE(Data!L317), "  ")</f>
        <v>584.33333333333337</v>
      </c>
    </row>
    <row r="313" spans="1:12" x14ac:dyDescent="0.2">
      <c r="A313" s="43">
        <f>Data!A318</f>
        <v>40817</v>
      </c>
      <c r="B313" s="42">
        <f>IFERROR(AVERAGE(Data!B318), "  ")</f>
        <v>151</v>
      </c>
      <c r="C313" s="42">
        <f>IFERROR(AVERAGE(Data!C318), "  ")</f>
        <v>21</v>
      </c>
      <c r="D313" s="42">
        <f>IFERROR(AVERAGE(Data!D318), "  ")</f>
        <v>44</v>
      </c>
      <c r="E313" s="42">
        <f>IFERROR(AVERAGE(Data!E318), "  ")</f>
        <v>216</v>
      </c>
      <c r="F313" s="42">
        <f>IFERROR(AVERAGE(Data!F318), "  ")</f>
        <v>530</v>
      </c>
      <c r="G313" s="42">
        <f>IFERROR(AVERAGE(Data!G318), "  ")</f>
        <v>314</v>
      </c>
      <c r="H313" s="44">
        <f>IFERROR(AVERAGE(Data!H318), "  ")</f>
        <v>5.1587301587301584E-2</v>
      </c>
      <c r="I313" s="44">
        <f>IFERROR(AVERAGE(Data!I318), "  ")</f>
        <v>0.16129032258064516</v>
      </c>
      <c r="J313" s="42">
        <f>IFERROR(AVERAGE(Data!J318), "  ")</f>
        <v>30</v>
      </c>
      <c r="K313" s="44">
        <f>IFERROR(AVERAGE(Data!K318), "  ")</f>
        <v>-0.13398692810457516</v>
      </c>
      <c r="L313" s="45">
        <f>IFERROR(AVERAGE(Data!L318), "  ")</f>
        <v>528.66666666666663</v>
      </c>
    </row>
    <row r="314" spans="1:12" x14ac:dyDescent="0.2">
      <c r="A314" s="43">
        <f>Data!A319</f>
        <v>40824</v>
      </c>
      <c r="B314" s="42">
        <f>IFERROR(AVERAGE(Data!B319), "  ")</f>
        <v>130</v>
      </c>
      <c r="C314" s="42">
        <f>IFERROR(AVERAGE(Data!C319), "  ")</f>
        <v>36</v>
      </c>
      <c r="D314" s="42">
        <f>IFERROR(AVERAGE(Data!D319), "  ")</f>
        <v>95</v>
      </c>
      <c r="E314" s="42">
        <f>IFERROR(AVERAGE(Data!E319), "  ")</f>
        <v>261</v>
      </c>
      <c r="F314" s="42">
        <f>IFERROR(AVERAGE(Data!F319), "  ")</f>
        <v>487</v>
      </c>
      <c r="G314" s="42">
        <f>IFERROR(AVERAGE(Data!G319), "  ")</f>
        <v>226</v>
      </c>
      <c r="H314" s="44">
        <f>IFERROR(AVERAGE(Data!H319), "  ")</f>
        <v>-8.1132075471698109E-2</v>
      </c>
      <c r="I314" s="44">
        <f>IFERROR(AVERAGE(Data!I319), "  ")</f>
        <v>0.20833333333333334</v>
      </c>
      <c r="J314" s="42">
        <f>IFERROR(AVERAGE(Data!J319), "  ")</f>
        <v>45</v>
      </c>
      <c r="K314" s="44">
        <f>IFERROR(AVERAGE(Data!K319), "  ")</f>
        <v>-0.24961479198767333</v>
      </c>
      <c r="L314" s="45">
        <f>IFERROR(AVERAGE(Data!L319), "  ")</f>
        <v>543.33333333333337</v>
      </c>
    </row>
    <row r="315" spans="1:12" x14ac:dyDescent="0.2">
      <c r="A315" s="43">
        <f>Data!A320</f>
        <v>40831</v>
      </c>
      <c r="B315" s="42">
        <f>IFERROR(AVERAGE(Data!B320), "  ")</f>
        <v>249</v>
      </c>
      <c r="C315" s="42">
        <f>IFERROR(AVERAGE(Data!C320), "  ")</f>
        <v>40</v>
      </c>
      <c r="D315" s="42">
        <f>IFERROR(AVERAGE(Data!D320), "  ")</f>
        <v>96</v>
      </c>
      <c r="E315" s="42">
        <f>IFERROR(AVERAGE(Data!E320), "  ")</f>
        <v>385</v>
      </c>
      <c r="F315" s="42">
        <f>IFERROR(AVERAGE(Data!F320), "  ")</f>
        <v>519</v>
      </c>
      <c r="G315" s="42">
        <f>IFERROR(AVERAGE(Data!G320), "  ")</f>
        <v>134</v>
      </c>
      <c r="H315" s="44">
        <f>IFERROR(AVERAGE(Data!H320), "  ")</f>
        <v>6.5708418891170434E-2</v>
      </c>
      <c r="I315" s="44">
        <f>IFERROR(AVERAGE(Data!I320), "  ")</f>
        <v>0.47509578544061304</v>
      </c>
      <c r="J315" s="42">
        <f>IFERROR(AVERAGE(Data!J320), "  ")</f>
        <v>124</v>
      </c>
      <c r="K315" s="44">
        <f>IFERROR(AVERAGE(Data!K320), "  ")</f>
        <v>-0.26798307475317351</v>
      </c>
      <c r="L315" s="45">
        <f>IFERROR(AVERAGE(Data!L320), "  ")</f>
        <v>594.33333333333337</v>
      </c>
    </row>
    <row r="316" spans="1:12" x14ac:dyDescent="0.2">
      <c r="A316" s="43">
        <f>Data!A321</f>
        <v>40838</v>
      </c>
      <c r="B316" s="42">
        <f>IFERROR(AVERAGE(Data!B321), "  ")</f>
        <v>279</v>
      </c>
      <c r="C316" s="42">
        <f>IFERROR(AVERAGE(Data!C321), "  ")</f>
        <v>32</v>
      </c>
      <c r="D316" s="42">
        <f>IFERROR(AVERAGE(Data!D321), "  ")</f>
        <v>123</v>
      </c>
      <c r="E316" s="42">
        <f>IFERROR(AVERAGE(Data!E321), "  ")</f>
        <v>434</v>
      </c>
      <c r="F316" s="42">
        <f>IFERROR(AVERAGE(Data!F321), "  ")</f>
        <v>625</v>
      </c>
      <c r="G316" s="42">
        <f>IFERROR(AVERAGE(Data!G321), "  ")</f>
        <v>191</v>
      </c>
      <c r="H316" s="44">
        <f>IFERROR(AVERAGE(Data!H321), "  ")</f>
        <v>0.20423892100192678</v>
      </c>
      <c r="I316" s="44">
        <f>IFERROR(AVERAGE(Data!I321), "  ")</f>
        <v>0.12727272727272726</v>
      </c>
      <c r="J316" s="42">
        <f>IFERROR(AVERAGE(Data!J321), "  ")</f>
        <v>49</v>
      </c>
      <c r="K316" s="44">
        <f>IFERROR(AVERAGE(Data!K321), "  ")</f>
        <v>-3.6979969183359017E-2</v>
      </c>
      <c r="L316" s="45">
        <f>IFERROR(AVERAGE(Data!L321), "  ")</f>
        <v>595.33333333333337</v>
      </c>
    </row>
    <row r="317" spans="1:12" x14ac:dyDescent="0.2">
      <c r="A317" s="43">
        <f>Data!A322</f>
        <v>40845</v>
      </c>
      <c r="B317" s="42">
        <f>IFERROR(AVERAGE(Data!B322), "  ")</f>
        <v>226</v>
      </c>
      <c r="C317" s="42">
        <f>IFERROR(AVERAGE(Data!C322), "  ")</f>
        <v>30</v>
      </c>
      <c r="D317" s="42">
        <f>IFERROR(AVERAGE(Data!D322), "  ")</f>
        <v>179</v>
      </c>
      <c r="E317" s="42">
        <f>IFERROR(AVERAGE(Data!E322), "  ")</f>
        <v>435</v>
      </c>
      <c r="F317" s="42">
        <f>IFERROR(AVERAGE(Data!F322), "  ")</f>
        <v>693</v>
      </c>
      <c r="G317" s="42">
        <f>IFERROR(AVERAGE(Data!G322), "  ")</f>
        <v>258</v>
      </c>
      <c r="H317" s="44">
        <f>IFERROR(AVERAGE(Data!H322), "  ")</f>
        <v>0.10879999999999999</v>
      </c>
      <c r="I317" s="44">
        <f>IFERROR(AVERAGE(Data!I322), "  ")</f>
        <v>2.304147465437788E-3</v>
      </c>
      <c r="J317" s="42">
        <f>IFERROR(AVERAGE(Data!J322), "  ")</f>
        <v>1</v>
      </c>
      <c r="K317" s="44">
        <f>IFERROR(AVERAGE(Data!K322), "  ")</f>
        <v>-2.2566995768688293E-2</v>
      </c>
      <c r="L317" s="45">
        <f>IFERROR(AVERAGE(Data!L322), "  ")</f>
        <v>596</v>
      </c>
    </row>
    <row r="318" spans="1:12" x14ac:dyDescent="0.2">
      <c r="A318" s="43">
        <f>Data!A323</f>
        <v>40852</v>
      </c>
      <c r="B318" s="42">
        <f>IFERROR(AVERAGE(Data!B323), "  ")</f>
        <v>315</v>
      </c>
      <c r="C318" s="42">
        <f>IFERROR(AVERAGE(Data!C323), "  ")</f>
        <v>29</v>
      </c>
      <c r="D318" s="42">
        <f>IFERROR(AVERAGE(Data!D323), "  ")</f>
        <v>112</v>
      </c>
      <c r="E318" s="42">
        <f>IFERROR(AVERAGE(Data!E323), "  ")</f>
        <v>456</v>
      </c>
      <c r="F318" s="42">
        <f>IFERROR(AVERAGE(Data!F323), "  ")</f>
        <v>719</v>
      </c>
      <c r="G318" s="42">
        <f>IFERROR(AVERAGE(Data!G323), "  ")</f>
        <v>263</v>
      </c>
      <c r="H318" s="44">
        <f>IFERROR(AVERAGE(Data!H323), "  ")</f>
        <v>3.751803751803752E-2</v>
      </c>
      <c r="I318" s="44">
        <f>IFERROR(AVERAGE(Data!I323), "  ")</f>
        <v>4.8275862068965517E-2</v>
      </c>
      <c r="J318" s="42">
        <f>IFERROR(AVERAGE(Data!J323), "  ")</f>
        <v>21</v>
      </c>
      <c r="K318" s="44">
        <f>IFERROR(AVERAGE(Data!K323), "  ")</f>
        <v>0.10615384615384615</v>
      </c>
      <c r="L318" s="45">
        <f>IFERROR(AVERAGE(Data!L323), "  ")</f>
        <v>640.66666666666663</v>
      </c>
    </row>
    <row r="319" spans="1:12" x14ac:dyDescent="0.2">
      <c r="A319" s="43">
        <f>Data!A324</f>
        <v>40859</v>
      </c>
      <c r="B319" s="42">
        <f>IFERROR(AVERAGE(Data!B324), "  ")</f>
        <v>287</v>
      </c>
      <c r="C319" s="42">
        <f>IFERROR(AVERAGE(Data!C324), "  ")</f>
        <v>24</v>
      </c>
      <c r="D319" s="42">
        <f>IFERROR(AVERAGE(Data!D324), "  ")</f>
        <v>130</v>
      </c>
      <c r="E319" s="42">
        <f>IFERROR(AVERAGE(Data!E324), "  ")</f>
        <v>441</v>
      </c>
      <c r="F319" s="42">
        <f>IFERROR(AVERAGE(Data!F324), "  ")</f>
        <v>764</v>
      </c>
      <c r="G319" s="42">
        <f>IFERROR(AVERAGE(Data!G324), "  ")</f>
        <v>323</v>
      </c>
      <c r="H319" s="44">
        <f>IFERROR(AVERAGE(Data!H324), "  ")</f>
        <v>6.258692628650904E-2</v>
      </c>
      <c r="I319" s="44">
        <f>IFERROR(AVERAGE(Data!I324), "  ")</f>
        <v>-3.2894736842105261E-2</v>
      </c>
      <c r="J319" s="42">
        <f>IFERROR(AVERAGE(Data!J324), "  ")</f>
        <v>-15</v>
      </c>
      <c r="K319" s="44">
        <f>IFERROR(AVERAGE(Data!K324), "  ")</f>
        <v>1.1920529801324504E-2</v>
      </c>
      <c r="L319" s="45">
        <f>IFERROR(AVERAGE(Data!L324), "  ")</f>
        <v>720.66666666666663</v>
      </c>
    </row>
    <row r="320" spans="1:12" x14ac:dyDescent="0.2">
      <c r="A320" s="43">
        <f>Data!A325</f>
        <v>40866</v>
      </c>
      <c r="B320" s="42">
        <f>IFERROR(AVERAGE(Data!B325), "  ")</f>
        <v>443</v>
      </c>
      <c r="C320" s="42">
        <f>IFERROR(AVERAGE(Data!C325), "  ")</f>
        <v>25</v>
      </c>
      <c r="D320" s="42">
        <f>IFERROR(AVERAGE(Data!D325), "  ")</f>
        <v>99</v>
      </c>
      <c r="E320" s="42">
        <f>IFERROR(AVERAGE(Data!E325), "  ")</f>
        <v>567</v>
      </c>
      <c r="F320" s="42">
        <f>IFERROR(AVERAGE(Data!F325), "  ")</f>
        <v>840</v>
      </c>
      <c r="G320" s="42">
        <f>IFERROR(AVERAGE(Data!G325), "  ")</f>
        <v>273</v>
      </c>
      <c r="H320" s="44">
        <f>IFERROR(AVERAGE(Data!H325), "  ")</f>
        <v>9.947643979057591E-2</v>
      </c>
      <c r="I320" s="44">
        <f>IFERROR(AVERAGE(Data!I325), "  ")</f>
        <v>0.2857142857142857</v>
      </c>
      <c r="J320" s="42">
        <f>IFERROR(AVERAGE(Data!J325), "  ")</f>
        <v>126</v>
      </c>
      <c r="K320" s="44">
        <f>IFERROR(AVERAGE(Data!K325), "  ")</f>
        <v>8.5271317829457363E-2</v>
      </c>
      <c r="L320" s="45">
        <f>IFERROR(AVERAGE(Data!L325), "  ")</f>
        <v>682.33333333333337</v>
      </c>
    </row>
    <row r="321" spans="1:12" x14ac:dyDescent="0.2">
      <c r="A321" s="43">
        <f>Data!A326</f>
        <v>40873</v>
      </c>
      <c r="B321" s="42">
        <f>IFERROR(AVERAGE(Data!B326), "  ")</f>
        <v>567</v>
      </c>
      <c r="C321" s="42">
        <f>IFERROR(AVERAGE(Data!C326), "  ")</f>
        <v>11</v>
      </c>
      <c r="D321" s="42">
        <f>IFERROR(AVERAGE(Data!D326), "  ")</f>
        <v>114</v>
      </c>
      <c r="E321" s="42">
        <f>IFERROR(AVERAGE(Data!E326), "  ")</f>
        <v>692</v>
      </c>
      <c r="F321" s="42">
        <f>IFERROR(AVERAGE(Data!F326), "  ")</f>
        <v>667</v>
      </c>
      <c r="G321" s="42">
        <f>IFERROR(AVERAGE(Data!G326), "  ")</f>
        <v>-25</v>
      </c>
      <c r="H321" s="44">
        <f>IFERROR(AVERAGE(Data!H326), "  ")</f>
        <v>-0.20595238095238094</v>
      </c>
      <c r="I321" s="44">
        <f>IFERROR(AVERAGE(Data!I326), "  ")</f>
        <v>0.22045855379188711</v>
      </c>
      <c r="J321" s="42">
        <f>IFERROR(AVERAGE(Data!J326), "  ")</f>
        <v>125</v>
      </c>
      <c r="K321" s="44">
        <f>IFERROR(AVERAGE(Data!K326), "  ")</f>
        <v>7.5528700906344415E-3</v>
      </c>
      <c r="L321" s="45">
        <f>IFERROR(AVERAGE(Data!L326), "  ")</f>
        <v>634.33333333333337</v>
      </c>
    </row>
    <row r="322" spans="1:12" x14ac:dyDescent="0.2">
      <c r="A322" s="43">
        <f>Data!A327</f>
        <v>40880</v>
      </c>
      <c r="B322" s="42">
        <f>IFERROR(AVERAGE(Data!B327), "  ")</f>
        <v>490</v>
      </c>
      <c r="C322" s="42">
        <f>IFERROR(AVERAGE(Data!C327), "  ")</f>
        <v>22</v>
      </c>
      <c r="D322" s="42">
        <f>IFERROR(AVERAGE(Data!D327), "  ")</f>
        <v>93</v>
      </c>
      <c r="E322" s="42">
        <f>IFERROR(AVERAGE(Data!E327), "  ")</f>
        <v>605</v>
      </c>
      <c r="F322" s="42">
        <f>IFERROR(AVERAGE(Data!F327), "  ")</f>
        <v>714</v>
      </c>
      <c r="G322" s="42">
        <f>IFERROR(AVERAGE(Data!G327), "  ")</f>
        <v>109</v>
      </c>
      <c r="H322" s="44">
        <f>IFERROR(AVERAGE(Data!H327), "  ")</f>
        <v>7.0464767616191901E-2</v>
      </c>
      <c r="I322" s="44">
        <f>IFERROR(AVERAGE(Data!I327), "  ")</f>
        <v>-0.12572254335260116</v>
      </c>
      <c r="J322" s="42">
        <f>IFERROR(AVERAGE(Data!J327), "  ")</f>
        <v>-87</v>
      </c>
      <c r="K322" s="44">
        <f>IFERROR(AVERAGE(Data!K327), "  ")</f>
        <v>-0.10526315789473684</v>
      </c>
      <c r="L322" s="45">
        <f>IFERROR(AVERAGE(Data!L327), "  ")</f>
        <v>711.66666666666663</v>
      </c>
    </row>
    <row r="323" spans="1:12" x14ac:dyDescent="0.2">
      <c r="A323" s="43">
        <f>Data!A328</f>
        <v>40887</v>
      </c>
      <c r="B323" s="42">
        <f>IFERROR(AVERAGE(Data!B328), "  ")</f>
        <v>547</v>
      </c>
      <c r="C323" s="42">
        <f>IFERROR(AVERAGE(Data!C328), "  ")</f>
        <v>18</v>
      </c>
      <c r="D323" s="42">
        <f>IFERROR(AVERAGE(Data!D328), "  ")</f>
        <v>53</v>
      </c>
      <c r="E323" s="42">
        <f>IFERROR(AVERAGE(Data!E328), "  ")</f>
        <v>618</v>
      </c>
      <c r="F323" s="42">
        <f>IFERROR(AVERAGE(Data!F328), "  ")</f>
        <v>672</v>
      </c>
      <c r="G323" s="42">
        <f>IFERROR(AVERAGE(Data!G328), "  ")</f>
        <v>54</v>
      </c>
      <c r="H323" s="44">
        <f>IFERROR(AVERAGE(Data!H328), "  ")</f>
        <v>-5.8823529411764705E-2</v>
      </c>
      <c r="I323" s="44">
        <f>IFERROR(AVERAGE(Data!I328), "  ")</f>
        <v>2.1487603305785124E-2</v>
      </c>
      <c r="J323" s="42">
        <f>IFERROR(AVERAGE(Data!J328), "  ")</f>
        <v>13</v>
      </c>
      <c r="K323" s="44">
        <f>IFERROR(AVERAGE(Data!K328), "  ")</f>
        <v>-0.20567375886524822</v>
      </c>
      <c r="L323" s="45">
        <f>IFERROR(AVERAGE(Data!L328), "  ")</f>
        <v>699.33333333333337</v>
      </c>
    </row>
    <row r="324" spans="1:12" x14ac:dyDescent="0.2">
      <c r="A324" s="43">
        <f>Data!A329</f>
        <v>40894</v>
      </c>
      <c r="B324" s="42">
        <f>IFERROR(AVERAGE(Data!B329), "  ")</f>
        <v>445</v>
      </c>
      <c r="C324" s="42">
        <f>IFERROR(AVERAGE(Data!C329), "  ")</f>
        <v>12</v>
      </c>
      <c r="D324" s="42">
        <f>IFERROR(AVERAGE(Data!D329), "  ")</f>
        <v>103</v>
      </c>
      <c r="E324" s="42">
        <f>IFERROR(AVERAGE(Data!E329), "  ")</f>
        <v>560</v>
      </c>
      <c r="F324" s="42">
        <f>IFERROR(AVERAGE(Data!F329), "  ")</f>
        <v>657</v>
      </c>
      <c r="G324" s="42">
        <f>IFERROR(AVERAGE(Data!G329), "  ")</f>
        <v>97</v>
      </c>
      <c r="H324" s="44">
        <f>IFERROR(AVERAGE(Data!H329), "  ")</f>
        <v>-2.2321428571428572E-2</v>
      </c>
      <c r="I324" s="44">
        <f>IFERROR(AVERAGE(Data!I329), "  ")</f>
        <v>-9.3851132686084138E-2</v>
      </c>
      <c r="J324" s="42">
        <f>IFERROR(AVERAGE(Data!J329), "  ")</f>
        <v>-58</v>
      </c>
      <c r="K324" s="44">
        <f>IFERROR(AVERAGE(Data!K329), "  ")</f>
        <v>-0.10245901639344263</v>
      </c>
      <c r="L324" s="45">
        <f>IFERROR(AVERAGE(Data!L329), "  ")</f>
        <v>601</v>
      </c>
    </row>
    <row r="325" spans="1:12" x14ac:dyDescent="0.2">
      <c r="A325" s="43">
        <f>Data!A330</f>
        <v>40901</v>
      </c>
      <c r="B325" s="42">
        <f>IFERROR(AVERAGE(Data!B330), "  ")</f>
        <v>281</v>
      </c>
      <c r="C325" s="42">
        <f>IFERROR(AVERAGE(Data!C330), "  ")</f>
        <v>22</v>
      </c>
      <c r="D325" s="42">
        <f>IFERROR(AVERAGE(Data!D330), "  ")</f>
        <v>160</v>
      </c>
      <c r="E325" s="42">
        <f>IFERROR(AVERAGE(Data!E330), "  ")</f>
        <v>463</v>
      </c>
      <c r="F325" s="42">
        <f>IFERROR(AVERAGE(Data!F330), "  ")</f>
        <v>690</v>
      </c>
      <c r="G325" s="42">
        <f>IFERROR(AVERAGE(Data!G330), "  ")</f>
        <v>227</v>
      </c>
      <c r="H325" s="44">
        <f>IFERROR(AVERAGE(Data!H330), "  ")</f>
        <v>5.0228310502283102E-2</v>
      </c>
      <c r="I325" s="44">
        <f>IFERROR(AVERAGE(Data!I330), "  ")</f>
        <v>-0.17321428571428571</v>
      </c>
      <c r="J325" s="42">
        <f>IFERROR(AVERAGE(Data!J330), "  ")</f>
        <v>-97</v>
      </c>
      <c r="K325" s="44">
        <f>IFERROR(AVERAGE(Data!K330), "  ")</f>
        <v>0.22340425531914893</v>
      </c>
      <c r="L325" s="45">
        <f>IFERROR(AVERAGE(Data!L330), "  ")</f>
        <v>607</v>
      </c>
    </row>
    <row r="326" spans="1:12" x14ac:dyDescent="0.2">
      <c r="A326" s="43">
        <f>Data!A331</f>
        <v>40908</v>
      </c>
      <c r="B326" s="42">
        <f>IFERROR(AVERAGE(Data!B331), "  ")</f>
        <v>173</v>
      </c>
      <c r="C326" s="42">
        <f>IFERROR(AVERAGE(Data!C331), "  ")</f>
        <v>20</v>
      </c>
      <c r="D326" s="42">
        <f>IFERROR(AVERAGE(Data!D331), "  ")</f>
        <v>103</v>
      </c>
      <c r="E326" s="42">
        <f>IFERROR(AVERAGE(Data!E331), "  ")</f>
        <v>296</v>
      </c>
      <c r="F326" s="42">
        <f>IFERROR(AVERAGE(Data!F331), "  ")</f>
        <v>552</v>
      </c>
      <c r="G326" s="42">
        <f>IFERROR(AVERAGE(Data!G331), "  ")</f>
        <v>256</v>
      </c>
      <c r="H326" s="44">
        <f>IFERROR(AVERAGE(Data!H331), "  ")</f>
        <v>-0.2</v>
      </c>
      <c r="I326" s="44">
        <f>IFERROR(AVERAGE(Data!I331), "  ")</f>
        <v>-0.36069114470842334</v>
      </c>
      <c r="J326" s="42">
        <f>IFERROR(AVERAGE(Data!J331), "  ")</f>
        <v>-167</v>
      </c>
      <c r="K326" s="44">
        <f>IFERROR(AVERAGE(Data!K331), "  ")</f>
        <v>0.28372093023255812</v>
      </c>
      <c r="L326" s="45">
        <f>IFERROR(AVERAGE(Data!L331), "  ")</f>
        <v>588</v>
      </c>
    </row>
    <row r="327" spans="1:12" x14ac:dyDescent="0.2">
      <c r="A327" s="43">
        <f>Data!A332</f>
        <v>40915</v>
      </c>
      <c r="B327" s="42">
        <f>IFERROR(AVERAGE(Data!B332), "  ")</f>
        <v>169</v>
      </c>
      <c r="C327" s="42">
        <f>IFERROR(AVERAGE(Data!C332), "  ")</f>
        <v>17</v>
      </c>
      <c r="D327" s="42">
        <f>IFERROR(AVERAGE(Data!D332), "  ")</f>
        <v>128</v>
      </c>
      <c r="E327" s="42">
        <f>IFERROR(AVERAGE(Data!E332), "  ")</f>
        <v>314</v>
      </c>
      <c r="F327" s="42">
        <f>IFERROR(AVERAGE(Data!F332), "  ")</f>
        <v>681</v>
      </c>
      <c r="G327" s="42">
        <f>IFERROR(AVERAGE(Data!G332), "  ")</f>
        <v>367</v>
      </c>
      <c r="H327" s="44">
        <f>IFERROR(AVERAGE(Data!H332), "  ")</f>
        <v>0.23369565217391305</v>
      </c>
      <c r="I327" s="44">
        <f>IFERROR(AVERAGE(Data!I332), "  ")</f>
        <v>6.0810810810810814E-2</v>
      </c>
      <c r="J327" s="42">
        <f>IFERROR(AVERAGE(Data!J332), "  ")</f>
        <v>18</v>
      </c>
      <c r="K327" s="44">
        <f>IFERROR(AVERAGE(Data!K332), "  ")</f>
        <v>4.1284403669724773E-2</v>
      </c>
      <c r="L327" s="45">
        <f>IFERROR(AVERAGE(Data!L332), "  ")</f>
        <v>674</v>
      </c>
    </row>
    <row r="328" spans="1:12" x14ac:dyDescent="0.2">
      <c r="A328" s="43">
        <f>Data!A333</f>
        <v>40922</v>
      </c>
      <c r="B328" s="42">
        <f>IFERROR(AVERAGE(Data!B333), "  ")</f>
        <v>184</v>
      </c>
      <c r="C328" s="42">
        <f>IFERROR(AVERAGE(Data!C333), "  ")</f>
        <v>26</v>
      </c>
      <c r="D328" s="42">
        <f>IFERROR(AVERAGE(Data!D333), "  ")</f>
        <v>162</v>
      </c>
      <c r="E328" s="42">
        <f>IFERROR(AVERAGE(Data!E333), "  ")</f>
        <v>372</v>
      </c>
      <c r="F328" s="42">
        <f>IFERROR(AVERAGE(Data!F333), "  ")</f>
        <v>840</v>
      </c>
      <c r="G328" s="42">
        <f>IFERROR(AVERAGE(Data!G333), "  ")</f>
        <v>468</v>
      </c>
      <c r="H328" s="44">
        <f>IFERROR(AVERAGE(Data!H333), "  ")</f>
        <v>0.23348017621145375</v>
      </c>
      <c r="I328" s="44">
        <f>IFERROR(AVERAGE(Data!I333), "  ")</f>
        <v>0.18471337579617833</v>
      </c>
      <c r="J328" s="42">
        <f>IFERROR(AVERAGE(Data!J333), "  ")</f>
        <v>58</v>
      </c>
      <c r="K328" s="44">
        <f>IFERROR(AVERAGE(Data!K333), "  ")</f>
        <v>0.47110332749562173</v>
      </c>
      <c r="L328" s="45">
        <f>IFERROR(AVERAGE(Data!L333), "  ")</f>
        <v>673</v>
      </c>
    </row>
    <row r="329" spans="1:12" x14ac:dyDescent="0.2">
      <c r="A329" s="43">
        <f>Data!A334</f>
        <v>40929</v>
      </c>
      <c r="B329" s="42">
        <f>IFERROR(AVERAGE(Data!B334), "  ")</f>
        <v>270</v>
      </c>
      <c r="C329" s="42">
        <f>IFERROR(AVERAGE(Data!C334), "  ")</f>
        <v>23</v>
      </c>
      <c r="D329" s="42">
        <f>IFERROR(AVERAGE(Data!D334), "  ")</f>
        <v>138</v>
      </c>
      <c r="E329" s="42">
        <f>IFERROR(AVERAGE(Data!E334), "  ")</f>
        <v>431</v>
      </c>
      <c r="F329" s="42">
        <f>IFERROR(AVERAGE(Data!F334), "  ")</f>
        <v>772</v>
      </c>
      <c r="G329" s="42">
        <f>IFERROR(AVERAGE(Data!G334), "  ")</f>
        <v>341</v>
      </c>
      <c r="H329" s="44">
        <f>IFERROR(AVERAGE(Data!H334), "  ")</f>
        <v>-8.0952380952380956E-2</v>
      </c>
      <c r="I329" s="44">
        <f>IFERROR(AVERAGE(Data!I334), "  ")</f>
        <v>0.15860215053763441</v>
      </c>
      <c r="J329" s="42">
        <f>IFERROR(AVERAGE(Data!J334), "  ")</f>
        <v>59</v>
      </c>
      <c r="K329" s="44">
        <f>IFERROR(AVERAGE(Data!K334), "  ")</f>
        <v>0.26557377049180325</v>
      </c>
      <c r="L329" s="45">
        <f>IFERROR(AVERAGE(Data!L334), "  ")</f>
        <v>658.33333333333337</v>
      </c>
    </row>
    <row r="330" spans="1:12" x14ac:dyDescent="0.2">
      <c r="A330" s="43">
        <f>Data!A335</f>
        <v>40936</v>
      </c>
      <c r="B330" s="42">
        <f>IFERROR(AVERAGE(Data!B335), "  ")</f>
        <v>218</v>
      </c>
      <c r="C330" s="42">
        <f>IFERROR(AVERAGE(Data!C335), "  ")</f>
        <v>29</v>
      </c>
      <c r="D330" s="42">
        <f>IFERROR(AVERAGE(Data!D335), "  ")</f>
        <v>144</v>
      </c>
      <c r="E330" s="42">
        <f>IFERROR(AVERAGE(Data!E335), "  ")</f>
        <v>391</v>
      </c>
      <c r="F330" s="42">
        <f>IFERROR(AVERAGE(Data!F335), "  ")</f>
        <v>793</v>
      </c>
      <c r="G330" s="42">
        <f>IFERROR(AVERAGE(Data!G335), "  ")</f>
        <v>402</v>
      </c>
      <c r="H330" s="44">
        <f>IFERROR(AVERAGE(Data!H335), "  ")</f>
        <v>2.7202072538860103E-2</v>
      </c>
      <c r="I330" s="44">
        <f>IFERROR(AVERAGE(Data!I335), "  ")</f>
        <v>-9.2807424593967514E-2</v>
      </c>
      <c r="J330" s="42">
        <f>IFERROR(AVERAGE(Data!J335), "  ")</f>
        <v>-40</v>
      </c>
      <c r="K330" s="44">
        <f>IFERROR(AVERAGE(Data!K335), "  ")</f>
        <v>0.13124108416547789</v>
      </c>
      <c r="L330" s="45">
        <f>IFERROR(AVERAGE(Data!L335), "  ")</f>
        <v>694.66666666666663</v>
      </c>
    </row>
    <row r="331" spans="1:12" x14ac:dyDescent="0.2">
      <c r="A331" s="43">
        <f>Data!A336</f>
        <v>40943</v>
      </c>
      <c r="B331" s="42">
        <f>IFERROR(AVERAGE(Data!B336), "  ")</f>
        <v>283</v>
      </c>
      <c r="C331" s="42">
        <f>IFERROR(AVERAGE(Data!C336), "  ")</f>
        <v>29</v>
      </c>
      <c r="D331" s="42">
        <f>IFERROR(AVERAGE(Data!D336), "  ")</f>
        <v>141</v>
      </c>
      <c r="E331" s="42">
        <f>IFERROR(AVERAGE(Data!E336), "  ")</f>
        <v>453</v>
      </c>
      <c r="F331" s="42">
        <f>IFERROR(AVERAGE(Data!F336), "  ")</f>
        <v>657</v>
      </c>
      <c r="G331" s="42">
        <f>IFERROR(AVERAGE(Data!G336), "  ")</f>
        <v>204</v>
      </c>
      <c r="H331" s="44">
        <f>IFERROR(AVERAGE(Data!H336), "  ")</f>
        <v>-0.17150063051702397</v>
      </c>
      <c r="I331" s="44">
        <f>IFERROR(AVERAGE(Data!I336), "  ")</f>
        <v>0.15856777493606139</v>
      </c>
      <c r="J331" s="42">
        <f>IFERROR(AVERAGE(Data!J336), "  ")</f>
        <v>62</v>
      </c>
      <c r="K331" s="44">
        <f>IFERROR(AVERAGE(Data!K336), "  ")</f>
        <v>3.1397174254317109E-2</v>
      </c>
      <c r="L331" s="45">
        <f>IFERROR(AVERAGE(Data!L336), "  ")</f>
        <v>660.66666666666663</v>
      </c>
    </row>
    <row r="332" spans="1:12" x14ac:dyDescent="0.2">
      <c r="A332" s="43">
        <f>Data!A337</f>
        <v>40950</v>
      </c>
      <c r="B332" s="42">
        <f>IFERROR(AVERAGE(Data!B337), "  ")</f>
        <v>280</v>
      </c>
      <c r="C332" s="42">
        <f>IFERROR(AVERAGE(Data!C337), "  ")</f>
        <v>30</v>
      </c>
      <c r="D332" s="42">
        <f>IFERROR(AVERAGE(Data!D337), "  ")</f>
        <v>199</v>
      </c>
      <c r="E332" s="42">
        <f>IFERROR(AVERAGE(Data!E337), "  ")</f>
        <v>509</v>
      </c>
      <c r="F332" s="42">
        <f>IFERROR(AVERAGE(Data!F337), "  ")</f>
        <v>713</v>
      </c>
      <c r="G332" s="42">
        <f>IFERROR(AVERAGE(Data!G337), "  ")</f>
        <v>204</v>
      </c>
      <c r="H332" s="44">
        <f>IFERROR(AVERAGE(Data!H337), "  ")</f>
        <v>8.5235920852359204E-2</v>
      </c>
      <c r="I332" s="44">
        <f>IFERROR(AVERAGE(Data!I337), "  ")</f>
        <v>0.12362030905077263</v>
      </c>
      <c r="J332" s="42">
        <f>IFERROR(AVERAGE(Data!J337), "  ")</f>
        <v>56</v>
      </c>
      <c r="K332" s="44">
        <f>IFERROR(AVERAGE(Data!K337), "  ")</f>
        <v>2.7377521613832854E-2</v>
      </c>
      <c r="L332" s="45">
        <f>IFERROR(AVERAGE(Data!L337), "  ")</f>
        <v>646</v>
      </c>
    </row>
    <row r="333" spans="1:12" x14ac:dyDescent="0.2">
      <c r="A333" s="43">
        <f>Data!A338</f>
        <v>40957</v>
      </c>
      <c r="B333" s="42">
        <f>IFERROR(AVERAGE(Data!B338), "  ")</f>
        <v>261</v>
      </c>
      <c r="C333" s="42">
        <f>IFERROR(AVERAGE(Data!C338), "  ")</f>
        <v>21</v>
      </c>
      <c r="D333" s="42">
        <f>IFERROR(AVERAGE(Data!D338), "  ")</f>
        <v>144</v>
      </c>
      <c r="E333" s="42">
        <f>IFERROR(AVERAGE(Data!E338), "  ")</f>
        <v>426</v>
      </c>
      <c r="F333" s="42">
        <f>IFERROR(AVERAGE(Data!F338), "  ")</f>
        <v>601</v>
      </c>
      <c r="G333" s="42">
        <f>IFERROR(AVERAGE(Data!G338), "  ")</f>
        <v>175</v>
      </c>
      <c r="H333" s="44">
        <f>IFERROR(AVERAGE(Data!H338), "  ")</f>
        <v>-0.15708274894810659</v>
      </c>
      <c r="I333" s="44">
        <f>IFERROR(AVERAGE(Data!I338), "  ")</f>
        <v>-0.16306483300589392</v>
      </c>
      <c r="J333" s="42">
        <f>IFERROR(AVERAGE(Data!J338), "  ")</f>
        <v>-83</v>
      </c>
      <c r="K333" s="44">
        <f>IFERROR(AVERAGE(Data!K338), "  ")</f>
        <v>-0.17103448275862068</v>
      </c>
      <c r="L333" s="45">
        <f>IFERROR(AVERAGE(Data!L338), "  ")</f>
        <v>664.66666666666663</v>
      </c>
    </row>
    <row r="334" spans="1:12" x14ac:dyDescent="0.2">
      <c r="A334" s="43">
        <f>Data!A339</f>
        <v>40964</v>
      </c>
      <c r="B334" s="42">
        <f>IFERROR(AVERAGE(Data!B339), "  ")</f>
        <v>177</v>
      </c>
      <c r="C334" s="42">
        <f>IFERROR(AVERAGE(Data!C339), "  ")</f>
        <v>25</v>
      </c>
      <c r="D334" s="42">
        <f>IFERROR(AVERAGE(Data!D339), "  ")</f>
        <v>119</v>
      </c>
      <c r="E334" s="42">
        <f>IFERROR(AVERAGE(Data!E339), "  ")</f>
        <v>321</v>
      </c>
      <c r="F334" s="42">
        <f>IFERROR(AVERAGE(Data!F339), "  ")</f>
        <v>563</v>
      </c>
      <c r="G334" s="42">
        <f>IFERROR(AVERAGE(Data!G339), "  ")</f>
        <v>242</v>
      </c>
      <c r="H334" s="44">
        <f>IFERROR(AVERAGE(Data!H339), "  ")</f>
        <v>-6.3227953410981697E-2</v>
      </c>
      <c r="I334" s="44">
        <f>IFERROR(AVERAGE(Data!I339), "  ")</f>
        <v>-0.24647887323943662</v>
      </c>
      <c r="J334" s="42">
        <f>IFERROR(AVERAGE(Data!J339), "  ")</f>
        <v>-105</v>
      </c>
      <c r="K334" s="44">
        <f>IFERROR(AVERAGE(Data!K339), "  ")</f>
        <v>-0.13914373088685014</v>
      </c>
      <c r="L334" s="45">
        <f>IFERROR(AVERAGE(Data!L339), "  ")</f>
        <v>640</v>
      </c>
    </row>
    <row r="335" spans="1:12" x14ac:dyDescent="0.2">
      <c r="A335" s="43">
        <f>Data!A340</f>
        <v>40971</v>
      </c>
      <c r="B335" s="42">
        <f>IFERROR(AVERAGE(Data!B340), "  ")</f>
        <v>169</v>
      </c>
      <c r="C335" s="42">
        <f>IFERROR(AVERAGE(Data!C340), "  ")</f>
        <v>41</v>
      </c>
      <c r="D335" s="42">
        <f>IFERROR(AVERAGE(Data!D340), "  ")</f>
        <v>119</v>
      </c>
      <c r="E335" s="42">
        <f>IFERROR(AVERAGE(Data!E340), "  ")</f>
        <v>329</v>
      </c>
      <c r="F335" s="42">
        <f>IFERROR(AVERAGE(Data!F340), "  ")</f>
        <v>593</v>
      </c>
      <c r="G335" s="42">
        <f>IFERROR(AVERAGE(Data!G340), "  ")</f>
        <v>264</v>
      </c>
      <c r="H335" s="44">
        <f>IFERROR(AVERAGE(Data!H340), "  ")</f>
        <v>5.328596802841918E-2</v>
      </c>
      <c r="I335" s="44">
        <f>IFERROR(AVERAGE(Data!I340), "  ")</f>
        <v>2.4922118380062305E-2</v>
      </c>
      <c r="J335" s="42">
        <f>IFERROR(AVERAGE(Data!J340), "  ")</f>
        <v>8</v>
      </c>
      <c r="K335" s="44">
        <f>IFERROR(AVERAGE(Data!K340), "  ")</f>
        <v>-0.16946778711484595</v>
      </c>
      <c r="L335" s="45">
        <f>IFERROR(AVERAGE(Data!L340), "  ")</f>
        <v>625.33333333333337</v>
      </c>
    </row>
    <row r="336" spans="1:12" x14ac:dyDescent="0.2">
      <c r="A336" s="43">
        <f>Data!A341</f>
        <v>40978</v>
      </c>
      <c r="B336" s="42">
        <f>IFERROR(AVERAGE(Data!B341), "  ")</f>
        <v>158</v>
      </c>
      <c r="C336" s="42">
        <f>IFERROR(AVERAGE(Data!C341), "  ")</f>
        <v>33</v>
      </c>
      <c r="D336" s="42">
        <f>IFERROR(AVERAGE(Data!D341), "  ")</f>
        <v>173</v>
      </c>
      <c r="E336" s="42">
        <f>IFERROR(AVERAGE(Data!E341), "  ")</f>
        <v>364</v>
      </c>
      <c r="F336" s="42">
        <f>IFERROR(AVERAGE(Data!F341), "  ")</f>
        <v>493</v>
      </c>
      <c r="G336" s="42">
        <f>IFERROR(AVERAGE(Data!G341), "  ")</f>
        <v>129</v>
      </c>
      <c r="H336" s="44">
        <f>IFERROR(AVERAGE(Data!H341), "  ")</f>
        <v>-0.16863406408094436</v>
      </c>
      <c r="I336" s="44">
        <f>IFERROR(AVERAGE(Data!I341), "  ")</f>
        <v>0.10638297872340426</v>
      </c>
      <c r="J336" s="42">
        <f>IFERROR(AVERAGE(Data!J341), "  ")</f>
        <v>35</v>
      </c>
      <c r="K336" s="44">
        <f>IFERROR(AVERAGE(Data!K341), "  ")</f>
        <v>-0.12433392539964476</v>
      </c>
      <c r="L336" s="45">
        <f>IFERROR(AVERAGE(Data!L341), "  ")</f>
        <v>569.66666666666663</v>
      </c>
    </row>
    <row r="337" spans="1:12" x14ac:dyDescent="0.2">
      <c r="A337" s="43">
        <f>Data!A342</f>
        <v>40985</v>
      </c>
      <c r="B337" s="42">
        <f>IFERROR(AVERAGE(Data!B342), "  ")</f>
        <v>131</v>
      </c>
      <c r="C337" s="42">
        <f>IFERROR(AVERAGE(Data!C342), "  ")</f>
        <v>32</v>
      </c>
      <c r="D337" s="42">
        <f>IFERROR(AVERAGE(Data!D342), "  ")</f>
        <v>69</v>
      </c>
      <c r="E337" s="42">
        <f>IFERROR(AVERAGE(Data!E342), "  ")</f>
        <v>232</v>
      </c>
      <c r="F337" s="42">
        <f>IFERROR(AVERAGE(Data!F342), "  ")</f>
        <v>457</v>
      </c>
      <c r="G337" s="42">
        <f>IFERROR(AVERAGE(Data!G342), "  ")</f>
        <v>225</v>
      </c>
      <c r="H337" s="44">
        <f>IFERROR(AVERAGE(Data!H342), "  ")</f>
        <v>-7.3022312373225151E-2</v>
      </c>
      <c r="I337" s="44">
        <f>IFERROR(AVERAGE(Data!I342), "  ")</f>
        <v>-0.36263736263736263</v>
      </c>
      <c r="J337" s="42">
        <f>IFERROR(AVERAGE(Data!J342), "  ")</f>
        <v>-132</v>
      </c>
      <c r="K337" s="44">
        <f>IFERROR(AVERAGE(Data!K342), "  ")</f>
        <v>-0.24711696869851729</v>
      </c>
      <c r="L337" s="45">
        <f>IFERROR(AVERAGE(Data!L342), "  ")</f>
        <v>636.33333333333337</v>
      </c>
    </row>
    <row r="338" spans="1:12" x14ac:dyDescent="0.2">
      <c r="A338" s="43">
        <f>Data!A343</f>
        <v>40992</v>
      </c>
      <c r="B338" s="42">
        <f>IFERROR(AVERAGE(Data!B343), "  ")</f>
        <v>375</v>
      </c>
      <c r="C338" s="42">
        <f>IFERROR(AVERAGE(Data!C343), "  ")</f>
        <v>23</v>
      </c>
      <c r="D338" s="42">
        <f>IFERROR(AVERAGE(Data!D343), "  ")</f>
        <v>97</v>
      </c>
      <c r="E338" s="42">
        <f>IFERROR(AVERAGE(Data!E343), "  ")</f>
        <v>495</v>
      </c>
      <c r="F338" s="42">
        <f>IFERROR(AVERAGE(Data!F343), "  ")</f>
        <v>496</v>
      </c>
      <c r="G338" s="42">
        <f>IFERROR(AVERAGE(Data!G343), "  ")</f>
        <v>1</v>
      </c>
      <c r="H338" s="44">
        <f>IFERROR(AVERAGE(Data!H343), "  ")</f>
        <v>8.5339168490153175E-2</v>
      </c>
      <c r="I338" s="44">
        <f>IFERROR(AVERAGE(Data!I343), "  ")</f>
        <v>1.1336206896551724</v>
      </c>
      <c r="J338" s="42">
        <f>IFERROR(AVERAGE(Data!J343), "  ")</f>
        <v>263</v>
      </c>
      <c r="K338" s="44">
        <f>IFERROR(AVERAGE(Data!K343), "  ")</f>
        <v>-0.24505327245053271</v>
      </c>
      <c r="L338" s="45">
        <f>IFERROR(AVERAGE(Data!L343), "  ")</f>
        <v>639.66666666666663</v>
      </c>
    </row>
    <row r="339" spans="1:12" x14ac:dyDescent="0.2">
      <c r="A339" s="43">
        <f>Data!A344</f>
        <v>40999</v>
      </c>
      <c r="B339" s="42">
        <f>IFERROR(AVERAGE(Data!B344), "  ")</f>
        <v>373</v>
      </c>
      <c r="C339" s="42">
        <f>IFERROR(AVERAGE(Data!C344), "  ")</f>
        <v>23</v>
      </c>
      <c r="D339" s="42">
        <f>IFERROR(AVERAGE(Data!D344), "  ")</f>
        <v>97</v>
      </c>
      <c r="E339" s="42">
        <f>IFERROR(AVERAGE(Data!E344), "  ")</f>
        <v>493</v>
      </c>
      <c r="F339" s="42">
        <f>IFERROR(AVERAGE(Data!F344), "  ")</f>
        <v>482</v>
      </c>
      <c r="G339" s="42">
        <f>IFERROR(AVERAGE(Data!G344), "  ")</f>
        <v>-11</v>
      </c>
      <c r="H339" s="44">
        <f>IFERROR(AVERAGE(Data!H344), "  ")</f>
        <v>-2.8225806451612902E-2</v>
      </c>
      <c r="I339" s="44">
        <f>IFERROR(AVERAGE(Data!I344), "  ")</f>
        <v>-4.0404040404040404E-3</v>
      </c>
      <c r="J339" s="42">
        <f>IFERROR(AVERAGE(Data!J344), "  ")</f>
        <v>-2</v>
      </c>
      <c r="K339" s="44">
        <f>IFERROR(AVERAGE(Data!K344), "  ")</f>
        <v>-3.0181086519114688E-2</v>
      </c>
      <c r="L339" s="45">
        <f>IFERROR(AVERAGE(Data!L344), "  ")</f>
        <v>528.33333333333337</v>
      </c>
    </row>
    <row r="340" spans="1:12" x14ac:dyDescent="0.2">
      <c r="A340" s="43">
        <f>Data!A345</f>
        <v>41006</v>
      </c>
      <c r="B340" s="42">
        <f>IFERROR(AVERAGE(Data!B345), "  ")</f>
        <v>328</v>
      </c>
      <c r="C340" s="42">
        <f>IFERROR(AVERAGE(Data!C345), "  ")</f>
        <v>9</v>
      </c>
      <c r="D340" s="42">
        <f>IFERROR(AVERAGE(Data!D345), "  ")</f>
        <v>71</v>
      </c>
      <c r="E340" s="42">
        <f>IFERROR(AVERAGE(Data!E345), "  ")</f>
        <v>408</v>
      </c>
      <c r="F340" s="42">
        <f>IFERROR(AVERAGE(Data!F345), "  ")</f>
        <v>495</v>
      </c>
      <c r="G340" s="42">
        <f>IFERROR(AVERAGE(Data!G345), "  ")</f>
        <v>87</v>
      </c>
      <c r="H340" s="44">
        <f>IFERROR(AVERAGE(Data!H345), "  ")</f>
        <v>2.6970954356846474E-2</v>
      </c>
      <c r="I340" s="44">
        <f>IFERROR(AVERAGE(Data!I345), "  ")</f>
        <v>-0.17241379310344829</v>
      </c>
      <c r="J340" s="42">
        <f>IFERROR(AVERAGE(Data!J345), "  ")</f>
        <v>-85</v>
      </c>
      <c r="K340" s="44">
        <f>IFERROR(AVERAGE(Data!K345), "  ")</f>
        <v>-8.6715867158671592E-2</v>
      </c>
      <c r="L340" s="45">
        <f>IFERROR(AVERAGE(Data!L345), "  ")</f>
        <v>532.66666666666663</v>
      </c>
    </row>
    <row r="341" spans="1:12" x14ac:dyDescent="0.2">
      <c r="A341" s="43">
        <f>Data!A346</f>
        <v>41013</v>
      </c>
      <c r="B341" s="42">
        <f>IFERROR(AVERAGE(Data!B346), "  ")</f>
        <v>235</v>
      </c>
      <c r="C341" s="42">
        <f>IFERROR(AVERAGE(Data!C346), "  ")</f>
        <v>31</v>
      </c>
      <c r="D341" s="42">
        <f>IFERROR(AVERAGE(Data!D346), "  ")</f>
        <v>31</v>
      </c>
      <c r="E341" s="42">
        <f>IFERROR(AVERAGE(Data!E346), "  ")</f>
        <v>297</v>
      </c>
      <c r="F341" s="42">
        <f>IFERROR(AVERAGE(Data!F346), "  ")</f>
        <v>649</v>
      </c>
      <c r="G341" s="42">
        <f>IFERROR(AVERAGE(Data!G346), "  ")</f>
        <v>352</v>
      </c>
      <c r="H341" s="44">
        <f>IFERROR(AVERAGE(Data!H346), "  ")</f>
        <v>0.31111111111111112</v>
      </c>
      <c r="I341" s="44">
        <f>IFERROR(AVERAGE(Data!I346), "  ")</f>
        <v>-0.27205882352941174</v>
      </c>
      <c r="J341" s="42">
        <f>IFERROR(AVERAGE(Data!J346), "  ")</f>
        <v>-111</v>
      </c>
      <c r="K341" s="44">
        <f>IFERROR(AVERAGE(Data!K346), "  ")</f>
        <v>0.45190156599552572</v>
      </c>
      <c r="L341" s="45">
        <f>IFERROR(AVERAGE(Data!L346), "  ")</f>
        <v>510.33333333333331</v>
      </c>
    </row>
    <row r="342" spans="1:12" x14ac:dyDescent="0.2">
      <c r="A342" s="43">
        <f>Data!A347</f>
        <v>41020</v>
      </c>
      <c r="B342" s="42">
        <f>IFERROR(AVERAGE(Data!B347), "  ")</f>
        <v>385</v>
      </c>
      <c r="C342" s="42">
        <f>IFERROR(AVERAGE(Data!C347), "  ")</f>
        <v>12</v>
      </c>
      <c r="D342" s="42">
        <f>IFERROR(AVERAGE(Data!D347), "  ")</f>
        <v>39</v>
      </c>
      <c r="E342" s="42">
        <f>IFERROR(AVERAGE(Data!E347), "  ")</f>
        <v>436</v>
      </c>
      <c r="F342" s="42">
        <f>IFERROR(AVERAGE(Data!F347), "  ")</f>
        <v>476</v>
      </c>
      <c r="G342" s="42">
        <f>IFERROR(AVERAGE(Data!G347), "  ")</f>
        <v>40</v>
      </c>
      <c r="H342" s="44">
        <f>IFERROR(AVERAGE(Data!H347), "  ")</f>
        <v>-0.26656394453004623</v>
      </c>
      <c r="I342" s="44">
        <f>IFERROR(AVERAGE(Data!I347), "  ")</f>
        <v>0.46801346801346799</v>
      </c>
      <c r="J342" s="42">
        <f>IFERROR(AVERAGE(Data!J347), "  ")</f>
        <v>139</v>
      </c>
      <c r="K342" s="44">
        <f>IFERROR(AVERAGE(Data!K347), "  ")</f>
        <v>0.57615894039735094</v>
      </c>
      <c r="L342" s="45">
        <f>IFERROR(AVERAGE(Data!L347), "  ")</f>
        <v>336.33333333333331</v>
      </c>
    </row>
    <row r="343" spans="1:12" x14ac:dyDescent="0.2">
      <c r="A343" s="43">
        <f>Data!A348</f>
        <v>41027</v>
      </c>
      <c r="B343" s="42">
        <f>IFERROR(AVERAGE(Data!B348), "  ")</f>
        <v>321</v>
      </c>
      <c r="C343" s="42">
        <f>IFERROR(AVERAGE(Data!C348), "  ")</f>
        <v>33</v>
      </c>
      <c r="D343" s="42">
        <f>IFERROR(AVERAGE(Data!D348), "  ")</f>
        <v>45</v>
      </c>
      <c r="E343" s="42">
        <f>IFERROR(AVERAGE(Data!E348), "  ")</f>
        <v>399</v>
      </c>
      <c r="F343" s="42">
        <f>IFERROR(AVERAGE(Data!F348), "  ")</f>
        <v>312</v>
      </c>
      <c r="G343" s="42">
        <f>IFERROR(AVERAGE(Data!G348), "  ")</f>
        <v>-87</v>
      </c>
      <c r="H343" s="44">
        <f>IFERROR(AVERAGE(Data!H348), "  ")</f>
        <v>-0.34453781512605042</v>
      </c>
      <c r="I343" s="44">
        <f>IFERROR(AVERAGE(Data!I348), "  ")</f>
        <v>-8.4862385321100922E-2</v>
      </c>
      <c r="J343" s="42">
        <f>IFERROR(AVERAGE(Data!J348), "  ")</f>
        <v>-37</v>
      </c>
      <c r="K343" s="44">
        <f>IFERROR(AVERAGE(Data!K348), "  ")</f>
        <v>-0.2</v>
      </c>
      <c r="L343" s="45">
        <f>IFERROR(AVERAGE(Data!L348), "  ")</f>
        <v>424.66666666666669</v>
      </c>
    </row>
    <row r="344" spans="1:12" x14ac:dyDescent="0.2">
      <c r="A344" s="43">
        <f>Data!A349</f>
        <v>41034</v>
      </c>
      <c r="B344" s="42">
        <f>IFERROR(AVERAGE(Data!B349), "  ")</f>
        <v>187</v>
      </c>
      <c r="C344" s="42">
        <f>IFERROR(AVERAGE(Data!C349), "  ")</f>
        <v>8</v>
      </c>
      <c r="D344" s="42">
        <f>IFERROR(AVERAGE(Data!D349), "  ")</f>
        <v>49</v>
      </c>
      <c r="E344" s="42">
        <f>IFERROR(AVERAGE(Data!E349), "  ")</f>
        <v>244</v>
      </c>
      <c r="F344" s="42">
        <f>IFERROR(AVERAGE(Data!F349), "  ")</f>
        <v>416</v>
      </c>
      <c r="G344" s="42">
        <f>IFERROR(AVERAGE(Data!G349), "  ")</f>
        <v>172</v>
      </c>
      <c r="H344" s="44">
        <f>IFERROR(AVERAGE(Data!H349), "  ")</f>
        <v>0.33333333333333331</v>
      </c>
      <c r="I344" s="44">
        <f>IFERROR(AVERAGE(Data!I349), "  ")</f>
        <v>-0.38847117794486213</v>
      </c>
      <c r="J344" s="42">
        <f>IFERROR(AVERAGE(Data!J349), "  ")</f>
        <v>-155</v>
      </c>
      <c r="K344" s="44">
        <f>IFERROR(AVERAGE(Data!K349), "  ")</f>
        <v>0.22352941176470589</v>
      </c>
      <c r="L344" s="45">
        <f>IFERROR(AVERAGE(Data!L349), "  ")</f>
        <v>475.66666666666669</v>
      </c>
    </row>
    <row r="345" spans="1:12" x14ac:dyDescent="0.2">
      <c r="A345" s="43">
        <f>Data!A350</f>
        <v>41041</v>
      </c>
      <c r="B345" s="42">
        <f>IFERROR(AVERAGE(Data!B350), "  ")</f>
        <v>350</v>
      </c>
      <c r="C345" s="42">
        <f>IFERROR(AVERAGE(Data!C350), "  ")</f>
        <v>28</v>
      </c>
      <c r="D345" s="42">
        <f>IFERROR(AVERAGE(Data!D350), "  ")</f>
        <v>60</v>
      </c>
      <c r="E345" s="42">
        <f>IFERROR(AVERAGE(Data!E350), "  ")</f>
        <v>438</v>
      </c>
      <c r="F345" s="42">
        <f>IFERROR(AVERAGE(Data!F350), "  ")</f>
        <v>651</v>
      </c>
      <c r="G345" s="42">
        <f>IFERROR(AVERAGE(Data!G350), "  ")</f>
        <v>213</v>
      </c>
      <c r="H345" s="44">
        <f>IFERROR(AVERAGE(Data!H350), "  ")</f>
        <v>0.56490384615384615</v>
      </c>
      <c r="I345" s="44">
        <f>IFERROR(AVERAGE(Data!I350), "  ")</f>
        <v>0.79508196721311475</v>
      </c>
      <c r="J345" s="42">
        <f>IFERROR(AVERAGE(Data!J350), "  ")</f>
        <v>194</v>
      </c>
      <c r="K345" s="44">
        <f>IFERROR(AVERAGE(Data!K350), "  ")</f>
        <v>1.4291044776119404</v>
      </c>
      <c r="L345" s="45">
        <f>IFERROR(AVERAGE(Data!L350), "  ")</f>
        <v>459.33333333333331</v>
      </c>
    </row>
    <row r="346" spans="1:12" x14ac:dyDescent="0.2">
      <c r="A346" s="43">
        <f>Data!A351</f>
        <v>41048</v>
      </c>
      <c r="B346" s="42">
        <f>IFERROR(AVERAGE(Data!B351), "  ")</f>
        <v>364</v>
      </c>
      <c r="C346" s="42">
        <f>IFERROR(AVERAGE(Data!C351), "  ")</f>
        <v>10</v>
      </c>
      <c r="D346" s="42">
        <f>IFERROR(AVERAGE(Data!D351), "  ")</f>
        <v>55</v>
      </c>
      <c r="E346" s="42">
        <f>IFERROR(AVERAGE(Data!E351), "  ")</f>
        <v>429</v>
      </c>
      <c r="F346" s="42">
        <f>IFERROR(AVERAGE(Data!F351), "  ")</f>
        <v>417</v>
      </c>
      <c r="G346" s="42">
        <f>IFERROR(AVERAGE(Data!G351), "  ")</f>
        <v>-12</v>
      </c>
      <c r="H346" s="44">
        <f>IFERROR(AVERAGE(Data!H351), "  ")</f>
        <v>-0.35944700460829493</v>
      </c>
      <c r="I346" s="44">
        <f>IFERROR(AVERAGE(Data!I351), "  ")</f>
        <v>-2.0547945205479451E-2</v>
      </c>
      <c r="J346" s="42">
        <f>IFERROR(AVERAGE(Data!J351), "  ")</f>
        <v>-9</v>
      </c>
      <c r="K346" s="44">
        <f>IFERROR(AVERAGE(Data!K351), "  ")</f>
        <v>0.13315217391304349</v>
      </c>
      <c r="L346" s="45">
        <f>IFERROR(AVERAGE(Data!L351), "  ")</f>
        <v>453.66666666666669</v>
      </c>
    </row>
    <row r="347" spans="1:12" x14ac:dyDescent="0.2">
      <c r="A347" s="43">
        <f>Data!A352</f>
        <v>41055</v>
      </c>
      <c r="B347" s="42">
        <f>IFERROR(AVERAGE(Data!B352), "  ")</f>
        <v>303</v>
      </c>
      <c r="C347" s="42">
        <f>IFERROR(AVERAGE(Data!C352), "  ")</f>
        <v>29</v>
      </c>
      <c r="D347" s="42">
        <f>IFERROR(AVERAGE(Data!D352), "  ")</f>
        <v>45</v>
      </c>
      <c r="E347" s="42">
        <f>IFERROR(AVERAGE(Data!E352), "  ")</f>
        <v>377</v>
      </c>
      <c r="F347" s="42">
        <f>IFERROR(AVERAGE(Data!F352), "  ")</f>
        <v>430</v>
      </c>
      <c r="G347" s="42">
        <f>IFERROR(AVERAGE(Data!G352), "  ")</f>
        <v>53</v>
      </c>
      <c r="H347" s="44">
        <f>IFERROR(AVERAGE(Data!H352), "  ")</f>
        <v>3.117505995203837E-2</v>
      </c>
      <c r="I347" s="44">
        <f>IFERROR(AVERAGE(Data!I352), "  ")</f>
        <v>-0.12121212121212122</v>
      </c>
      <c r="J347" s="42">
        <f>IFERROR(AVERAGE(Data!J352), "  ")</f>
        <v>-52</v>
      </c>
      <c r="K347" s="44">
        <f>IFERROR(AVERAGE(Data!K352), "  ")</f>
        <v>0.17486338797814208</v>
      </c>
      <c r="L347" s="45">
        <f>IFERROR(AVERAGE(Data!L352), "  ")</f>
        <v>470.33333333333331</v>
      </c>
    </row>
    <row r="348" spans="1:12" x14ac:dyDescent="0.2">
      <c r="A348" s="43">
        <f>Data!A353</f>
        <v>41062</v>
      </c>
      <c r="B348" s="42">
        <f>IFERROR(AVERAGE(Data!B353), "  ")</f>
        <v>344</v>
      </c>
      <c r="C348" s="42">
        <f>IFERROR(AVERAGE(Data!C353), "  ")</f>
        <v>32</v>
      </c>
      <c r="D348" s="42">
        <f>IFERROR(AVERAGE(Data!D353), "  ")</f>
        <v>27</v>
      </c>
      <c r="E348" s="42">
        <f>IFERROR(AVERAGE(Data!E353), "  ")</f>
        <v>403</v>
      </c>
      <c r="F348" s="42">
        <f>IFERROR(AVERAGE(Data!F353), "  ")</f>
        <v>360</v>
      </c>
      <c r="G348" s="42">
        <f>IFERROR(AVERAGE(Data!G353), "  ")</f>
        <v>-43</v>
      </c>
      <c r="H348" s="44">
        <f>IFERROR(AVERAGE(Data!H353), "  ")</f>
        <v>-0.16279069767441862</v>
      </c>
      <c r="I348" s="44">
        <f>IFERROR(AVERAGE(Data!I353), "  ")</f>
        <v>6.8965517241379309E-2</v>
      </c>
      <c r="J348" s="42">
        <f>IFERROR(AVERAGE(Data!J353), "  ")</f>
        <v>26</v>
      </c>
      <c r="K348" s="44">
        <f>IFERROR(AVERAGE(Data!K353), "  ")</f>
        <v>0.12852664576802508</v>
      </c>
      <c r="L348" s="45">
        <f>IFERROR(AVERAGE(Data!L353), "  ")</f>
        <v>467.66666666666669</v>
      </c>
    </row>
    <row r="349" spans="1:12" x14ac:dyDescent="0.2">
      <c r="A349" s="43">
        <f>Data!A354</f>
        <v>41069</v>
      </c>
      <c r="B349" s="42">
        <f>IFERROR(AVERAGE(Data!B354), "  ")</f>
        <v>295</v>
      </c>
      <c r="C349" s="42">
        <f>IFERROR(AVERAGE(Data!C354), "  ")</f>
        <v>30</v>
      </c>
      <c r="D349" s="42">
        <f>IFERROR(AVERAGE(Data!D354), "  ")</f>
        <v>57</v>
      </c>
      <c r="E349" s="42">
        <f>IFERROR(AVERAGE(Data!E354), "  ")</f>
        <v>382</v>
      </c>
      <c r="F349" s="42">
        <f>IFERROR(AVERAGE(Data!F354), "  ")</f>
        <v>243</v>
      </c>
      <c r="G349" s="42">
        <f>IFERROR(AVERAGE(Data!G354), "  ")</f>
        <v>-139</v>
      </c>
      <c r="H349" s="44">
        <f>IFERROR(AVERAGE(Data!H354), "  ")</f>
        <v>-0.32500000000000001</v>
      </c>
      <c r="I349" s="44">
        <f>IFERROR(AVERAGE(Data!I354), "  ")</f>
        <v>-5.2109181141439205E-2</v>
      </c>
      <c r="J349" s="42">
        <f>IFERROR(AVERAGE(Data!J354), "  ")</f>
        <v>-21</v>
      </c>
      <c r="K349" s="44">
        <f>IFERROR(AVERAGE(Data!K354), "  ")</f>
        <v>-0.18181818181818182</v>
      </c>
      <c r="L349" s="45">
        <f>IFERROR(AVERAGE(Data!L354), "  ")</f>
        <v>472.33333333333331</v>
      </c>
    </row>
    <row r="350" spans="1:12" x14ac:dyDescent="0.2">
      <c r="A350" s="43">
        <f>Data!A355</f>
        <v>41076</v>
      </c>
      <c r="B350" s="42">
        <f>IFERROR(AVERAGE(Data!B355), "  ")</f>
        <v>284</v>
      </c>
      <c r="C350" s="42">
        <f>IFERROR(AVERAGE(Data!C355), "  ")</f>
        <v>31</v>
      </c>
      <c r="D350" s="42">
        <f>IFERROR(AVERAGE(Data!D355), "  ")</f>
        <v>44</v>
      </c>
      <c r="E350" s="42">
        <f>IFERROR(AVERAGE(Data!E355), "  ")</f>
        <v>359</v>
      </c>
      <c r="F350" s="42">
        <f>IFERROR(AVERAGE(Data!F355), "  ")</f>
        <v>425</v>
      </c>
      <c r="G350" s="42">
        <f>IFERROR(AVERAGE(Data!G355), "  ")</f>
        <v>66</v>
      </c>
      <c r="H350" s="44">
        <f>IFERROR(AVERAGE(Data!H355), "  ")</f>
        <v>0.74897119341563789</v>
      </c>
      <c r="I350" s="44">
        <f>IFERROR(AVERAGE(Data!I355), "  ")</f>
        <v>-6.0209424083769635E-2</v>
      </c>
      <c r="J350" s="42">
        <f>IFERROR(AVERAGE(Data!J355), "  ")</f>
        <v>-23</v>
      </c>
      <c r="K350" s="44">
        <f>IFERROR(AVERAGE(Data!K355), "  ")</f>
        <v>0.16438356164383561</v>
      </c>
      <c r="L350" s="45">
        <f>IFERROR(AVERAGE(Data!L355), "  ")</f>
        <v>483.33333333333331</v>
      </c>
    </row>
    <row r="351" spans="1:12" x14ac:dyDescent="0.2">
      <c r="A351" s="43">
        <f>Data!A356</f>
        <v>41083</v>
      </c>
      <c r="B351" s="42">
        <f>IFERROR(AVERAGE(Data!B356), "  ")</f>
        <v>349</v>
      </c>
      <c r="C351" s="42">
        <f>IFERROR(AVERAGE(Data!C356), "  ")</f>
        <v>13</v>
      </c>
      <c r="D351" s="42">
        <f>IFERROR(AVERAGE(Data!D356), "  ")</f>
        <v>26</v>
      </c>
      <c r="E351" s="42">
        <f>IFERROR(AVERAGE(Data!E356), "  ")</f>
        <v>388</v>
      </c>
      <c r="F351" s="42">
        <f>IFERROR(AVERAGE(Data!F356), "  ")</f>
        <v>366</v>
      </c>
      <c r="G351" s="42">
        <f>IFERROR(AVERAGE(Data!G356), "  ")</f>
        <v>-22</v>
      </c>
      <c r="H351" s="44">
        <f>IFERROR(AVERAGE(Data!H356), "  ")</f>
        <v>-0.13882352941176471</v>
      </c>
      <c r="I351" s="44">
        <f>IFERROR(AVERAGE(Data!I356), "  ")</f>
        <v>8.0779944289693595E-2</v>
      </c>
      <c r="J351" s="42">
        <f>IFERROR(AVERAGE(Data!J356), "  ")</f>
        <v>29</v>
      </c>
      <c r="K351" s="44">
        <f>IFERROR(AVERAGE(Data!K356), "  ")</f>
        <v>-0.1201923076923077</v>
      </c>
      <c r="L351" s="45">
        <f>IFERROR(AVERAGE(Data!L356), "  ")</f>
        <v>489.33333333333331</v>
      </c>
    </row>
    <row r="352" spans="1:12" x14ac:dyDescent="0.2">
      <c r="A352" s="43">
        <f>Data!A357</f>
        <v>41090</v>
      </c>
      <c r="B352" s="42">
        <f>IFERROR(AVERAGE(Data!B357), "  ")</f>
        <v>285</v>
      </c>
      <c r="C352" s="42">
        <f>IFERROR(AVERAGE(Data!C357), "  ")</f>
        <v>24</v>
      </c>
      <c r="D352" s="42">
        <f>IFERROR(AVERAGE(Data!D357), "  ")</f>
        <v>30</v>
      </c>
      <c r="E352" s="42">
        <f>IFERROR(AVERAGE(Data!E357), "  ")</f>
        <v>339</v>
      </c>
      <c r="F352" s="42">
        <f>IFERROR(AVERAGE(Data!F357), "  ")</f>
        <v>498</v>
      </c>
      <c r="G352" s="42">
        <f>IFERROR(AVERAGE(Data!G357), "  ")</f>
        <v>159</v>
      </c>
      <c r="H352" s="44">
        <f>IFERROR(AVERAGE(Data!H357), "  ")</f>
        <v>0.36065573770491804</v>
      </c>
      <c r="I352" s="44">
        <f>IFERROR(AVERAGE(Data!I357), "  ")</f>
        <v>-0.12628865979381443</v>
      </c>
      <c r="J352" s="42">
        <f>IFERROR(AVERAGE(Data!J357), "  ")</f>
        <v>-49</v>
      </c>
      <c r="K352" s="44">
        <f>IFERROR(AVERAGE(Data!K357), "  ")</f>
        <v>0.2</v>
      </c>
      <c r="L352" s="45">
        <f>IFERROR(AVERAGE(Data!L357), "  ")</f>
        <v>492</v>
      </c>
    </row>
    <row r="353" spans="1:12" x14ac:dyDescent="0.2">
      <c r="A353" s="43">
        <f>Data!A358</f>
        <v>41097</v>
      </c>
      <c r="B353" s="42">
        <f>IFERROR(AVERAGE(Data!B358), "  ")</f>
        <v>294</v>
      </c>
      <c r="C353" s="42">
        <f>IFERROR(AVERAGE(Data!C358), "  ")</f>
        <v>26</v>
      </c>
      <c r="D353" s="42">
        <f>IFERROR(AVERAGE(Data!D358), "  ")</f>
        <v>48</v>
      </c>
      <c r="E353" s="42">
        <f>IFERROR(AVERAGE(Data!E358), "  ")</f>
        <v>368</v>
      </c>
      <c r="F353" s="42">
        <f>IFERROR(AVERAGE(Data!F358), "  ")</f>
        <v>449</v>
      </c>
      <c r="G353" s="42">
        <f>IFERROR(AVERAGE(Data!G358), "  ")</f>
        <v>81</v>
      </c>
      <c r="H353" s="44">
        <f>IFERROR(AVERAGE(Data!H358), "  ")</f>
        <v>-9.8393574297188757E-2</v>
      </c>
      <c r="I353" s="44">
        <f>IFERROR(AVERAGE(Data!I358), "  ")</f>
        <v>8.5545722713864306E-2</v>
      </c>
      <c r="J353" s="42">
        <f>IFERROR(AVERAGE(Data!J358), "  ")</f>
        <v>29</v>
      </c>
      <c r="K353" s="44">
        <f>IFERROR(AVERAGE(Data!K358), "  ")</f>
        <v>3.2183908045977011E-2</v>
      </c>
      <c r="L353" s="45">
        <f>IFERROR(AVERAGE(Data!L358), "  ")</f>
        <v>508.33333333333331</v>
      </c>
    </row>
    <row r="354" spans="1:12" x14ac:dyDescent="0.2">
      <c r="A354" s="43">
        <f>Data!A359</f>
        <v>41104</v>
      </c>
      <c r="B354" s="42">
        <f>IFERROR(AVERAGE(Data!B359), "  ")</f>
        <v>265</v>
      </c>
      <c r="C354" s="42">
        <f>IFERROR(AVERAGE(Data!C359), "  ")</f>
        <v>18</v>
      </c>
      <c r="D354" s="42">
        <f>IFERROR(AVERAGE(Data!D359), "  ")</f>
        <v>46</v>
      </c>
      <c r="E354" s="42">
        <f>IFERROR(AVERAGE(Data!E359), "  ")</f>
        <v>329</v>
      </c>
      <c r="F354" s="42">
        <f>IFERROR(AVERAGE(Data!F359), "  ")</f>
        <v>391</v>
      </c>
      <c r="G354" s="42">
        <f>IFERROR(AVERAGE(Data!G359), "  ")</f>
        <v>62</v>
      </c>
      <c r="H354" s="44">
        <f>IFERROR(AVERAGE(Data!H359), "  ")</f>
        <v>-0.1291759465478842</v>
      </c>
      <c r="I354" s="44">
        <f>IFERROR(AVERAGE(Data!I359), "  ")</f>
        <v>-0.10597826086956522</v>
      </c>
      <c r="J354" s="42">
        <f>IFERROR(AVERAGE(Data!J359), "  ")</f>
        <v>-39</v>
      </c>
      <c r="K354" s="44">
        <f>IFERROR(AVERAGE(Data!K359), "  ")</f>
        <v>-0.21010101010101009</v>
      </c>
      <c r="L354" s="45">
        <f>IFERROR(AVERAGE(Data!L359), "  ")</f>
        <v>539.66666666666663</v>
      </c>
    </row>
    <row r="355" spans="1:12" x14ac:dyDescent="0.2">
      <c r="A355" s="43">
        <f>Data!A360</f>
        <v>41111</v>
      </c>
      <c r="B355" s="42">
        <f>IFERROR(AVERAGE(Data!B360), "  ")</f>
        <v>300</v>
      </c>
      <c r="C355" s="42">
        <f>IFERROR(AVERAGE(Data!C360), "  ")</f>
        <v>15</v>
      </c>
      <c r="D355" s="42">
        <f>IFERROR(AVERAGE(Data!D360), "  ")</f>
        <v>35</v>
      </c>
      <c r="E355" s="42">
        <f>IFERROR(AVERAGE(Data!E360), "  ")</f>
        <v>350</v>
      </c>
      <c r="F355" s="42">
        <f>IFERROR(AVERAGE(Data!F360), "  ")</f>
        <v>506</v>
      </c>
      <c r="G355" s="42">
        <f>IFERROR(AVERAGE(Data!G360), "  ")</f>
        <v>156</v>
      </c>
      <c r="H355" s="44">
        <f>IFERROR(AVERAGE(Data!H360), "  ")</f>
        <v>0.29411764705882354</v>
      </c>
      <c r="I355" s="44">
        <f>IFERROR(AVERAGE(Data!I360), "  ")</f>
        <v>6.3829787234042548E-2</v>
      </c>
      <c r="J355" s="42">
        <f>IFERROR(AVERAGE(Data!J360), "  ")</f>
        <v>21</v>
      </c>
      <c r="K355" s="44">
        <f>IFERROR(AVERAGE(Data!K360), "  ")</f>
        <v>0.12694877505567928</v>
      </c>
      <c r="L355" s="45">
        <f>IFERROR(AVERAGE(Data!L360), "  ")</f>
        <v>511.66666666666669</v>
      </c>
    </row>
    <row r="356" spans="1:12" x14ac:dyDescent="0.2">
      <c r="A356" s="43">
        <f>Data!A361</f>
        <v>41118</v>
      </c>
      <c r="B356" s="42">
        <f>IFERROR(AVERAGE(Data!B361), "  ")</f>
        <v>403</v>
      </c>
      <c r="C356" s="42">
        <f>IFERROR(AVERAGE(Data!C361), "  ")</f>
        <v>27</v>
      </c>
      <c r="D356" s="42">
        <f>IFERROR(AVERAGE(Data!D361), "  ")</f>
        <v>47</v>
      </c>
      <c r="E356" s="42">
        <f>IFERROR(AVERAGE(Data!E361), "  ")</f>
        <v>477</v>
      </c>
      <c r="F356" s="42">
        <f>IFERROR(AVERAGE(Data!F361), "  ")</f>
        <v>456</v>
      </c>
      <c r="G356" s="42">
        <f>IFERROR(AVERAGE(Data!G361), "  ")</f>
        <v>-21</v>
      </c>
      <c r="H356" s="44">
        <f>IFERROR(AVERAGE(Data!H361), "  ")</f>
        <v>-9.8814229249011856E-2</v>
      </c>
      <c r="I356" s="44">
        <f>IFERROR(AVERAGE(Data!I361), "  ")</f>
        <v>0.36285714285714288</v>
      </c>
      <c r="J356" s="42">
        <f>IFERROR(AVERAGE(Data!J361), "  ")</f>
        <v>127</v>
      </c>
      <c r="K356" s="44">
        <f>IFERROR(AVERAGE(Data!K361), "  ")</f>
        <v>0.18134715025906736</v>
      </c>
      <c r="L356" s="45">
        <f>IFERROR(AVERAGE(Data!L361), "  ")</f>
        <v>410.66666666666669</v>
      </c>
    </row>
    <row r="357" spans="1:12" x14ac:dyDescent="0.2">
      <c r="A357" s="43">
        <f>Data!A362</f>
        <v>41125</v>
      </c>
      <c r="B357" s="42">
        <f>IFERROR(AVERAGE(Data!B362), "  ")</f>
        <v>349</v>
      </c>
      <c r="C357" s="42">
        <f>IFERROR(AVERAGE(Data!C362), "  ")</f>
        <v>24</v>
      </c>
      <c r="D357" s="42">
        <f>IFERROR(AVERAGE(Data!D362), "  ")</f>
        <v>76</v>
      </c>
      <c r="E357" s="42">
        <f>IFERROR(AVERAGE(Data!E362), "  ")</f>
        <v>449</v>
      </c>
      <c r="F357" s="42">
        <f>IFERROR(AVERAGE(Data!F362), "  ")</f>
        <v>465</v>
      </c>
      <c r="G357" s="42">
        <f>IFERROR(AVERAGE(Data!G362), "  ")</f>
        <v>16</v>
      </c>
      <c r="H357" s="44">
        <f>IFERROR(AVERAGE(Data!H362), "  ")</f>
        <v>1.9736842105263157E-2</v>
      </c>
      <c r="I357" s="44">
        <f>IFERROR(AVERAGE(Data!I362), "  ")</f>
        <v>-5.8700209643605873E-2</v>
      </c>
      <c r="J357" s="42">
        <f>IFERROR(AVERAGE(Data!J362), "  ")</f>
        <v>-28</v>
      </c>
      <c r="K357" s="44">
        <f>IFERROR(AVERAGE(Data!K362), "  ")</f>
        <v>-1.6913319238900635E-2</v>
      </c>
      <c r="L357" s="45">
        <f>IFERROR(AVERAGE(Data!L362), "  ")</f>
        <v>494.33333333333331</v>
      </c>
    </row>
    <row r="358" spans="1:12" x14ac:dyDescent="0.2">
      <c r="A358" s="43">
        <f>Data!A363</f>
        <v>41132</v>
      </c>
      <c r="B358" s="42">
        <f>IFERROR(AVERAGE(Data!B363), "  ")</f>
        <v>322</v>
      </c>
      <c r="C358" s="42">
        <f>IFERROR(AVERAGE(Data!C363), "  ")</f>
        <v>34</v>
      </c>
      <c r="D358" s="42">
        <f>IFERROR(AVERAGE(Data!D363), "  ")</f>
        <v>42</v>
      </c>
      <c r="E358" s="42">
        <f>IFERROR(AVERAGE(Data!E363), "  ")</f>
        <v>398</v>
      </c>
      <c r="F358" s="42">
        <f>IFERROR(AVERAGE(Data!F363), "  ")</f>
        <v>556</v>
      </c>
      <c r="G358" s="42">
        <f>IFERROR(AVERAGE(Data!G363), "  ")</f>
        <v>158</v>
      </c>
      <c r="H358" s="44">
        <f>IFERROR(AVERAGE(Data!H363), "  ")</f>
        <v>0.19569892473118281</v>
      </c>
      <c r="I358" s="44">
        <f>IFERROR(AVERAGE(Data!I363), "  ")</f>
        <v>-0.11358574610244988</v>
      </c>
      <c r="J358" s="42">
        <f>IFERROR(AVERAGE(Data!J363), "  ")</f>
        <v>-51</v>
      </c>
      <c r="K358" s="44">
        <f>IFERROR(AVERAGE(Data!K363), "  ")</f>
        <v>4.5112781954887216E-2</v>
      </c>
      <c r="L358" s="45">
        <f>IFERROR(AVERAGE(Data!L363), "  ")</f>
        <v>499</v>
      </c>
    </row>
    <row r="359" spans="1:12" x14ac:dyDescent="0.2">
      <c r="A359" s="43">
        <f>Data!A364</f>
        <v>41139</v>
      </c>
      <c r="B359" s="42">
        <f>IFERROR(AVERAGE(Data!B364), "  ")</f>
        <v>278</v>
      </c>
      <c r="C359" s="42">
        <f>IFERROR(AVERAGE(Data!C364), "  ")</f>
        <v>60</v>
      </c>
      <c r="D359" s="42">
        <f>IFERROR(AVERAGE(Data!D364), "  ")</f>
        <v>14</v>
      </c>
      <c r="E359" s="42">
        <f>IFERROR(AVERAGE(Data!E364), "  ")</f>
        <v>352</v>
      </c>
      <c r="F359" s="42">
        <f>IFERROR(AVERAGE(Data!F364), "  ")</f>
        <v>502</v>
      </c>
      <c r="G359" s="42">
        <f>IFERROR(AVERAGE(Data!G364), "  ")</f>
        <v>150</v>
      </c>
      <c r="H359" s="44">
        <f>IFERROR(AVERAGE(Data!H364), "  ")</f>
        <v>-9.7122302158273388E-2</v>
      </c>
      <c r="I359" s="44">
        <f>IFERROR(AVERAGE(Data!I364), "  ")</f>
        <v>-0.11557788944723618</v>
      </c>
      <c r="J359" s="42">
        <f>IFERROR(AVERAGE(Data!J364), "  ")</f>
        <v>-46</v>
      </c>
      <c r="K359" s="44">
        <f>IFERROR(AVERAGE(Data!K364), "  ")</f>
        <v>0.15935334872979215</v>
      </c>
      <c r="L359" s="45">
        <f>IFERROR(AVERAGE(Data!L364), "  ")</f>
        <v>501.66666666666669</v>
      </c>
    </row>
    <row r="360" spans="1:12" x14ac:dyDescent="0.2">
      <c r="A360" s="43">
        <f>Data!A365</f>
        <v>41146</v>
      </c>
      <c r="B360" s="42">
        <f>IFERROR(AVERAGE(Data!B365), "  ")</f>
        <v>111</v>
      </c>
      <c r="C360" s="42">
        <f>IFERROR(AVERAGE(Data!C365), "  ")</f>
        <v>53</v>
      </c>
      <c r="D360" s="42">
        <f>IFERROR(AVERAGE(Data!D365), "  ")</f>
        <v>20</v>
      </c>
      <c r="E360" s="42">
        <f>IFERROR(AVERAGE(Data!E365), "  ")</f>
        <v>184</v>
      </c>
      <c r="F360" s="42">
        <f>IFERROR(AVERAGE(Data!F365), "  ")</f>
        <v>554</v>
      </c>
      <c r="G360" s="42">
        <f>IFERROR(AVERAGE(Data!G365), "  ")</f>
        <v>370</v>
      </c>
      <c r="H360" s="44">
        <f>IFERROR(AVERAGE(Data!H365), "  ")</f>
        <v>0.10358565737051793</v>
      </c>
      <c r="I360" s="44">
        <f>IFERROR(AVERAGE(Data!I365), "  ")</f>
        <v>-0.47727272727272729</v>
      </c>
      <c r="J360" s="42">
        <f>IFERROR(AVERAGE(Data!J365), "  ")</f>
        <v>-168</v>
      </c>
      <c r="K360" s="44">
        <f>IFERROR(AVERAGE(Data!K365), "  ")</f>
        <v>0.1329243353783231</v>
      </c>
      <c r="L360" s="45">
        <f>IFERROR(AVERAGE(Data!L365), "  ")</f>
        <v>494.33333333333331</v>
      </c>
    </row>
    <row r="361" spans="1:12" x14ac:dyDescent="0.2">
      <c r="A361" s="43">
        <f>Data!A366</f>
        <v>41153</v>
      </c>
      <c r="B361" s="42">
        <f>IFERROR(AVERAGE(Data!B366), "  ")</f>
        <v>85</v>
      </c>
      <c r="C361" s="42">
        <f>IFERROR(AVERAGE(Data!C366), "  ")</f>
        <v>38</v>
      </c>
      <c r="D361" s="42">
        <f>IFERROR(AVERAGE(Data!D366), "  ")</f>
        <v>40</v>
      </c>
      <c r="E361" s="42">
        <f>IFERROR(AVERAGE(Data!E366), "  ")</f>
        <v>163</v>
      </c>
      <c r="F361" s="42">
        <f>IFERROR(AVERAGE(Data!F366), "  ")</f>
        <v>228</v>
      </c>
      <c r="G361" s="42">
        <f>IFERROR(AVERAGE(Data!G366), "  ")</f>
        <v>65</v>
      </c>
      <c r="H361" s="44">
        <f>IFERROR(AVERAGE(Data!H366), "  ")</f>
        <v>-0.58844765342960292</v>
      </c>
      <c r="I361" s="44">
        <f>IFERROR(AVERAGE(Data!I366), "  ")</f>
        <v>-0.11413043478260869</v>
      </c>
      <c r="J361" s="42">
        <f>IFERROR(AVERAGE(Data!J366), "  ")</f>
        <v>-21</v>
      </c>
      <c r="K361" s="44">
        <f>IFERROR(AVERAGE(Data!K366), "  ")</f>
        <v>-0.33137829912023459</v>
      </c>
      <c r="L361" s="45">
        <f>IFERROR(AVERAGE(Data!L366), "  ")</f>
        <v>494.66666666666669</v>
      </c>
    </row>
    <row r="362" spans="1:12" x14ac:dyDescent="0.2">
      <c r="A362" s="43">
        <f>Data!A367</f>
        <v>41160</v>
      </c>
      <c r="B362" s="42">
        <f>IFERROR(AVERAGE(Data!B367), "  ")</f>
        <v>82</v>
      </c>
      <c r="C362" s="42">
        <f>IFERROR(AVERAGE(Data!C367), "  ")</f>
        <v>11</v>
      </c>
      <c r="D362" s="42">
        <f>IFERROR(AVERAGE(Data!D367), "  ")</f>
        <v>15</v>
      </c>
      <c r="E362" s="42">
        <f>IFERROR(AVERAGE(Data!E367), "  ")</f>
        <v>108</v>
      </c>
      <c r="F362" s="42">
        <f>IFERROR(AVERAGE(Data!F367), "  ")</f>
        <v>469</v>
      </c>
      <c r="G362" s="42">
        <f>IFERROR(AVERAGE(Data!G367), "  ")</f>
        <v>361</v>
      </c>
      <c r="H362" s="44">
        <f>IFERROR(AVERAGE(Data!H367), "  ")</f>
        <v>1.0570175438596492</v>
      </c>
      <c r="I362" s="44">
        <f>IFERROR(AVERAGE(Data!I367), "  ")</f>
        <v>-0.33742331288343558</v>
      </c>
      <c r="J362" s="42">
        <f>IFERROR(AVERAGE(Data!J367), "  ")</f>
        <v>-55</v>
      </c>
      <c r="K362" s="44">
        <f>IFERROR(AVERAGE(Data!K367), "  ")</f>
        <v>0.11666666666666667</v>
      </c>
      <c r="L362" s="45">
        <f>IFERROR(AVERAGE(Data!L367), "  ")</f>
        <v>435</v>
      </c>
    </row>
    <row r="363" spans="1:12" x14ac:dyDescent="0.2">
      <c r="A363" s="43">
        <f>Data!A368</f>
        <v>41167</v>
      </c>
      <c r="B363" s="42">
        <f>IFERROR(AVERAGE(Data!B368), "  ")</f>
        <v>48</v>
      </c>
      <c r="C363" s="42">
        <f>IFERROR(AVERAGE(Data!C368), "  ")</f>
        <v>65</v>
      </c>
      <c r="D363" s="42">
        <f>IFERROR(AVERAGE(Data!D368), "  ")</f>
        <v>35</v>
      </c>
      <c r="E363" s="42">
        <f>IFERROR(AVERAGE(Data!E368), "  ")</f>
        <v>148</v>
      </c>
      <c r="F363" s="42">
        <f>IFERROR(AVERAGE(Data!F368), "  ")</f>
        <v>603</v>
      </c>
      <c r="G363" s="42">
        <f>IFERROR(AVERAGE(Data!G368), "  ")</f>
        <v>455</v>
      </c>
      <c r="H363" s="44">
        <f>IFERROR(AVERAGE(Data!H368), "  ")</f>
        <v>0.2857142857142857</v>
      </c>
      <c r="I363" s="44">
        <f>IFERROR(AVERAGE(Data!I368), "  ")</f>
        <v>0.37037037037037035</v>
      </c>
      <c r="J363" s="42">
        <f>IFERROR(AVERAGE(Data!J368), "  ")</f>
        <v>40</v>
      </c>
      <c r="K363" s="44">
        <f>IFERROR(AVERAGE(Data!K368), "  ")</f>
        <v>0.55012853470437018</v>
      </c>
      <c r="L363" s="45">
        <f>IFERROR(AVERAGE(Data!L368), "  ")</f>
        <v>483.33333333333331</v>
      </c>
    </row>
    <row r="364" spans="1:12" x14ac:dyDescent="0.2">
      <c r="A364" s="43">
        <f>Data!A369</f>
        <v>41174</v>
      </c>
      <c r="B364" s="42">
        <f>IFERROR(AVERAGE(Data!B369), "  ")</f>
        <v>66</v>
      </c>
      <c r="C364" s="42">
        <f>IFERROR(AVERAGE(Data!C369), "  ")</f>
        <v>41</v>
      </c>
      <c r="D364" s="42">
        <f>IFERROR(AVERAGE(Data!D369), "  ")</f>
        <v>17</v>
      </c>
      <c r="E364" s="42">
        <f>IFERROR(AVERAGE(Data!E369), "  ")</f>
        <v>124</v>
      </c>
      <c r="F364" s="42">
        <f>IFERROR(AVERAGE(Data!F369), "  ")</f>
        <v>649</v>
      </c>
      <c r="G364" s="42">
        <f>IFERROR(AVERAGE(Data!G369), "  ")</f>
        <v>525</v>
      </c>
      <c r="H364" s="44">
        <f>IFERROR(AVERAGE(Data!H369), "  ")</f>
        <v>7.6285240464344942E-2</v>
      </c>
      <c r="I364" s="44">
        <f>IFERROR(AVERAGE(Data!I369), "  ")</f>
        <v>-0.16216216216216217</v>
      </c>
      <c r="J364" s="42">
        <f>IFERROR(AVERAGE(Data!J369), "  ")</f>
        <v>-24</v>
      </c>
      <c r="K364" s="44">
        <f>IFERROR(AVERAGE(Data!K369), "  ")</f>
        <v>0.28769841269841268</v>
      </c>
      <c r="L364" s="45">
        <f>IFERROR(AVERAGE(Data!L369), "  ")</f>
        <v>561.33333333333337</v>
      </c>
    </row>
    <row r="365" spans="1:12" x14ac:dyDescent="0.2">
      <c r="A365" s="43">
        <f>Data!A370</f>
        <v>41181</v>
      </c>
      <c r="B365" s="42">
        <f>IFERROR(AVERAGE(Data!B370), "  ")</f>
        <v>184</v>
      </c>
      <c r="C365" s="42">
        <f>IFERROR(AVERAGE(Data!C370), "  ")</f>
        <v>57</v>
      </c>
      <c r="D365" s="42">
        <f>IFERROR(AVERAGE(Data!D370), "  ")</f>
        <v>61</v>
      </c>
      <c r="E365" s="42">
        <f>IFERROR(AVERAGE(Data!E370), "  ")</f>
        <v>302</v>
      </c>
      <c r="F365" s="42">
        <f>IFERROR(AVERAGE(Data!F370), "  ")</f>
        <v>686</v>
      </c>
      <c r="G365" s="42">
        <f>IFERROR(AVERAGE(Data!G370), "  ")</f>
        <v>384</v>
      </c>
      <c r="H365" s="44">
        <f>IFERROR(AVERAGE(Data!H370), "  ")</f>
        <v>5.7010785824345149E-2</v>
      </c>
      <c r="I365" s="44">
        <f>IFERROR(AVERAGE(Data!I370), "  ")</f>
        <v>1.435483870967742</v>
      </c>
      <c r="J365" s="42">
        <f>IFERROR(AVERAGE(Data!J370), "  ")</f>
        <v>178</v>
      </c>
      <c r="K365" s="44">
        <f>IFERROR(AVERAGE(Data!K370), "  ")</f>
        <v>0.29433962264150942</v>
      </c>
      <c r="L365" s="45">
        <f>IFERROR(AVERAGE(Data!L370), "  ")</f>
        <v>529</v>
      </c>
    </row>
    <row r="366" spans="1:12" x14ac:dyDescent="0.2">
      <c r="A366" s="43">
        <f>Data!A371</f>
        <v>41188</v>
      </c>
      <c r="B366" s="42">
        <f>IFERROR(AVERAGE(Data!B371), "  ")</f>
        <v>106</v>
      </c>
      <c r="C366" s="42">
        <f>IFERROR(AVERAGE(Data!C371), "  ")</f>
        <v>33</v>
      </c>
      <c r="D366" s="42">
        <f>IFERROR(AVERAGE(Data!D371), "  ")</f>
        <v>40</v>
      </c>
      <c r="E366" s="42">
        <f>IFERROR(AVERAGE(Data!E371), "  ")</f>
        <v>179</v>
      </c>
      <c r="F366" s="42">
        <f>IFERROR(AVERAGE(Data!F371), "  ")</f>
        <v>598</v>
      </c>
      <c r="G366" s="42">
        <f>IFERROR(AVERAGE(Data!G371), "  ")</f>
        <v>419</v>
      </c>
      <c r="H366" s="44">
        <f>IFERROR(AVERAGE(Data!H371), "  ")</f>
        <v>-0.1282798833819242</v>
      </c>
      <c r="I366" s="44">
        <f>IFERROR(AVERAGE(Data!I371), "  ")</f>
        <v>-0.40728476821192056</v>
      </c>
      <c r="J366" s="42">
        <f>IFERROR(AVERAGE(Data!J371), "  ")</f>
        <v>-123</v>
      </c>
      <c r="K366" s="44">
        <f>IFERROR(AVERAGE(Data!K371), "  ")</f>
        <v>0.22792607802874743</v>
      </c>
      <c r="L366" s="45">
        <f>IFERROR(AVERAGE(Data!L371), "  ")</f>
        <v>522</v>
      </c>
    </row>
    <row r="367" spans="1:12" x14ac:dyDescent="0.2">
      <c r="A367" s="43">
        <f>Data!A372</f>
        <v>41195</v>
      </c>
      <c r="B367" s="42">
        <f>IFERROR(AVERAGE(Data!B372), "  ")</f>
        <v>300</v>
      </c>
      <c r="C367" s="42">
        <f>IFERROR(AVERAGE(Data!C372), "  ")</f>
        <v>35</v>
      </c>
      <c r="D367" s="42">
        <f>IFERROR(AVERAGE(Data!D372), "  ")</f>
        <v>47</v>
      </c>
      <c r="E367" s="42">
        <f>IFERROR(AVERAGE(Data!E372), "  ")</f>
        <v>382</v>
      </c>
      <c r="F367" s="42">
        <f>IFERROR(AVERAGE(Data!F372), "  ")</f>
        <v>714</v>
      </c>
      <c r="G367" s="42">
        <f>IFERROR(AVERAGE(Data!G372), "  ")</f>
        <v>332</v>
      </c>
      <c r="H367" s="44">
        <f>IFERROR(AVERAGE(Data!H372), "  ")</f>
        <v>0.1939799331103679</v>
      </c>
      <c r="I367" s="44">
        <f>IFERROR(AVERAGE(Data!I372), "  ")</f>
        <v>1.1340782122905029</v>
      </c>
      <c r="J367" s="42">
        <f>IFERROR(AVERAGE(Data!J372), "  ")</f>
        <v>203</v>
      </c>
      <c r="K367" s="44">
        <f>IFERROR(AVERAGE(Data!K372), "  ")</f>
        <v>0.37572254335260113</v>
      </c>
      <c r="L367" s="45">
        <f>IFERROR(AVERAGE(Data!L372), "  ")</f>
        <v>575</v>
      </c>
    </row>
    <row r="368" spans="1:12" x14ac:dyDescent="0.2">
      <c r="A368" s="43">
        <f>Data!A373</f>
        <v>41202</v>
      </c>
      <c r="B368" s="42">
        <f>IFERROR(AVERAGE(Data!B373), "  ")</f>
        <v>370</v>
      </c>
      <c r="C368" s="42">
        <f>IFERROR(AVERAGE(Data!C373), "  ")</f>
        <v>41</v>
      </c>
      <c r="D368" s="42">
        <f>IFERROR(AVERAGE(Data!D373), "  ")</f>
        <v>71</v>
      </c>
      <c r="E368" s="42">
        <f>IFERROR(AVERAGE(Data!E373), "  ")</f>
        <v>482</v>
      </c>
      <c r="F368" s="42">
        <f>IFERROR(AVERAGE(Data!F373), "  ")</f>
        <v>814</v>
      </c>
      <c r="G368" s="42">
        <f>IFERROR(AVERAGE(Data!G373), "  ")</f>
        <v>332</v>
      </c>
      <c r="H368" s="44">
        <f>IFERROR(AVERAGE(Data!H373), "  ")</f>
        <v>0.14005602240896359</v>
      </c>
      <c r="I368" s="44">
        <f>IFERROR(AVERAGE(Data!I373), "  ")</f>
        <v>0.26178010471204188</v>
      </c>
      <c r="J368" s="42">
        <f>IFERROR(AVERAGE(Data!J373), "  ")</f>
        <v>100</v>
      </c>
      <c r="K368" s="44">
        <f>IFERROR(AVERAGE(Data!K373), "  ")</f>
        <v>0.3024</v>
      </c>
      <c r="L368" s="45">
        <f>IFERROR(AVERAGE(Data!L373), "  ")</f>
        <v>622.33333333333337</v>
      </c>
    </row>
    <row r="369" spans="1:12" x14ac:dyDescent="0.2">
      <c r="A369" s="43">
        <f>Data!A374</f>
        <v>41209</v>
      </c>
      <c r="B369" s="42">
        <f>IFERROR(AVERAGE(Data!B374), "  ")</f>
        <v>174</v>
      </c>
      <c r="C369" s="42">
        <f>IFERROR(AVERAGE(Data!C374), "  ")</f>
        <v>39</v>
      </c>
      <c r="D369" s="42">
        <f>IFERROR(AVERAGE(Data!D374), "  ")</f>
        <v>119</v>
      </c>
      <c r="E369" s="42">
        <f>IFERROR(AVERAGE(Data!E374), "  ")</f>
        <v>332</v>
      </c>
      <c r="F369" s="42">
        <f>IFERROR(AVERAGE(Data!F374), "  ")</f>
        <v>843</v>
      </c>
      <c r="G369" s="42">
        <f>IFERROR(AVERAGE(Data!G374), "  ")</f>
        <v>511</v>
      </c>
      <c r="H369" s="44">
        <f>IFERROR(AVERAGE(Data!H374), "  ")</f>
        <v>3.562653562653563E-2</v>
      </c>
      <c r="I369" s="44">
        <f>IFERROR(AVERAGE(Data!I374), "  ")</f>
        <v>-0.31120331950207469</v>
      </c>
      <c r="J369" s="42">
        <f>IFERROR(AVERAGE(Data!J374), "  ")</f>
        <v>-150</v>
      </c>
      <c r="K369" s="44">
        <f>IFERROR(AVERAGE(Data!K374), "  ")</f>
        <v>0.21645021645021645</v>
      </c>
      <c r="L369" s="45">
        <f>IFERROR(AVERAGE(Data!L374), "  ")</f>
        <v>653.33333333333337</v>
      </c>
    </row>
    <row r="370" spans="1:12" x14ac:dyDescent="0.2">
      <c r="A370" s="43">
        <f>Data!A375</f>
        <v>41216</v>
      </c>
      <c r="B370" s="42">
        <f>IFERROR(AVERAGE(Data!B375), "  ")</f>
        <v>312</v>
      </c>
      <c r="C370" s="42">
        <f>IFERROR(AVERAGE(Data!C375), "  ")</f>
        <v>35</v>
      </c>
      <c r="D370" s="42">
        <f>IFERROR(AVERAGE(Data!D375), "  ")</f>
        <v>150</v>
      </c>
      <c r="E370" s="42">
        <f>IFERROR(AVERAGE(Data!E375), "  ")</f>
        <v>497</v>
      </c>
      <c r="F370" s="42">
        <f>IFERROR(AVERAGE(Data!F375), "  ")</f>
        <v>848</v>
      </c>
      <c r="G370" s="42">
        <f>IFERROR(AVERAGE(Data!G375), "  ")</f>
        <v>351</v>
      </c>
      <c r="H370" s="44">
        <f>IFERROR(AVERAGE(Data!H375), "  ")</f>
        <v>5.9311981020166073E-3</v>
      </c>
      <c r="I370" s="44">
        <f>IFERROR(AVERAGE(Data!I375), "  ")</f>
        <v>0.49698795180722893</v>
      </c>
      <c r="J370" s="42">
        <f>IFERROR(AVERAGE(Data!J375), "  ")</f>
        <v>165</v>
      </c>
      <c r="K370" s="44">
        <f>IFERROR(AVERAGE(Data!K375), "  ")</f>
        <v>0.17941585535465926</v>
      </c>
      <c r="L370" s="45">
        <f>IFERROR(AVERAGE(Data!L375), "  ")</f>
        <v>686</v>
      </c>
    </row>
    <row r="371" spans="1:12" x14ac:dyDescent="0.2">
      <c r="A371" s="43">
        <f>Data!A376</f>
        <v>41223</v>
      </c>
      <c r="B371" s="42">
        <f>IFERROR(AVERAGE(Data!B376), "  ")</f>
        <v>271</v>
      </c>
      <c r="C371" s="42">
        <f>IFERROR(AVERAGE(Data!C376), "  ")</f>
        <v>34</v>
      </c>
      <c r="D371" s="42">
        <f>IFERROR(AVERAGE(Data!D376), "  ")</f>
        <v>112</v>
      </c>
      <c r="E371" s="42">
        <f>IFERROR(AVERAGE(Data!E376), "  ")</f>
        <v>417</v>
      </c>
      <c r="F371" s="42">
        <f>IFERROR(AVERAGE(Data!F376), "  ")</f>
        <v>831</v>
      </c>
      <c r="G371" s="42">
        <f>IFERROR(AVERAGE(Data!G376), "  ")</f>
        <v>414</v>
      </c>
      <c r="H371" s="44">
        <f>IFERROR(AVERAGE(Data!H376), "  ")</f>
        <v>-2.0047169811320754E-2</v>
      </c>
      <c r="I371" s="44">
        <f>IFERROR(AVERAGE(Data!I376), "  ")</f>
        <v>-0.16096579476861167</v>
      </c>
      <c r="J371" s="42">
        <f>IFERROR(AVERAGE(Data!J376), "  ")</f>
        <v>-80</v>
      </c>
      <c r="K371" s="44">
        <f>IFERROR(AVERAGE(Data!K376), "  ")</f>
        <v>8.7696335078534027E-2</v>
      </c>
      <c r="L371" s="45">
        <f>IFERROR(AVERAGE(Data!L376), "  ")</f>
        <v>746</v>
      </c>
    </row>
    <row r="372" spans="1:12" x14ac:dyDescent="0.2">
      <c r="A372" s="43">
        <f>Data!A377</f>
        <v>41230</v>
      </c>
      <c r="B372" s="42">
        <f>IFERROR(AVERAGE(Data!B377), "  ")</f>
        <v>244</v>
      </c>
      <c r="C372" s="42">
        <f>IFERROR(AVERAGE(Data!C377), "  ")</f>
        <v>52</v>
      </c>
      <c r="D372" s="42">
        <f>IFERROR(AVERAGE(Data!D377), "  ")</f>
        <v>107</v>
      </c>
      <c r="E372" s="42">
        <f>IFERROR(AVERAGE(Data!E377), "  ")</f>
        <v>403</v>
      </c>
      <c r="F372" s="42">
        <f>IFERROR(AVERAGE(Data!F377), "  ")</f>
        <v>905</v>
      </c>
      <c r="G372" s="42">
        <f>IFERROR(AVERAGE(Data!G377), "  ")</f>
        <v>502</v>
      </c>
      <c r="H372" s="44">
        <f>IFERROR(AVERAGE(Data!H377), "  ")</f>
        <v>8.9049338146811069E-2</v>
      </c>
      <c r="I372" s="44">
        <f>IFERROR(AVERAGE(Data!I377), "  ")</f>
        <v>-3.3573141486810551E-2</v>
      </c>
      <c r="J372" s="42">
        <f>IFERROR(AVERAGE(Data!J377), "  ")</f>
        <v>-14</v>
      </c>
      <c r="K372" s="44">
        <f>IFERROR(AVERAGE(Data!K377), "  ")</f>
        <v>7.7380952380952384E-2</v>
      </c>
      <c r="L372" s="45">
        <f>IFERROR(AVERAGE(Data!L377), "  ")</f>
        <v>778.66666666666663</v>
      </c>
    </row>
    <row r="373" spans="1:12" x14ac:dyDescent="0.2">
      <c r="A373" s="43">
        <f>Data!A378</f>
        <v>41237</v>
      </c>
      <c r="B373" s="42">
        <f>IFERROR(AVERAGE(Data!B378), "  ")</f>
        <v>390</v>
      </c>
      <c r="C373" s="42">
        <f>IFERROR(AVERAGE(Data!C378), "  ")</f>
        <v>20</v>
      </c>
      <c r="D373" s="42">
        <f>IFERROR(AVERAGE(Data!D378), "  ")</f>
        <v>82</v>
      </c>
      <c r="E373" s="42">
        <f>IFERROR(AVERAGE(Data!E378), "  ")</f>
        <v>492</v>
      </c>
      <c r="F373" s="42">
        <f>IFERROR(AVERAGE(Data!F378), "  ")</f>
        <v>655</v>
      </c>
      <c r="G373" s="42">
        <f>IFERROR(AVERAGE(Data!G378), "  ")</f>
        <v>163</v>
      </c>
      <c r="H373" s="44">
        <f>IFERROR(AVERAGE(Data!H378), "  ")</f>
        <v>-0.27624309392265195</v>
      </c>
      <c r="I373" s="44">
        <f>IFERROR(AVERAGE(Data!I378), "  ")</f>
        <v>0.22084367245657568</v>
      </c>
      <c r="J373" s="42">
        <f>IFERROR(AVERAGE(Data!J378), "  ")</f>
        <v>89</v>
      </c>
      <c r="K373" s="44">
        <f>IFERROR(AVERAGE(Data!K378), "  ")</f>
        <v>-1.7991004497751123E-2</v>
      </c>
      <c r="L373" s="45">
        <f>IFERROR(AVERAGE(Data!L378), "  ")</f>
        <v>640.66666666666663</v>
      </c>
    </row>
    <row r="374" spans="1:12" x14ac:dyDescent="0.2">
      <c r="A374" s="43">
        <f>Data!A379</f>
        <v>41244</v>
      </c>
      <c r="B374" s="42">
        <f>IFERROR(AVERAGE(Data!B379), "  ")</f>
        <v>461</v>
      </c>
      <c r="C374" s="42">
        <f>IFERROR(AVERAGE(Data!C379), "  ")</f>
        <v>43</v>
      </c>
      <c r="D374" s="42">
        <f>IFERROR(AVERAGE(Data!D379), "  ")</f>
        <v>89</v>
      </c>
      <c r="E374" s="42">
        <f>IFERROR(AVERAGE(Data!E379), "  ")</f>
        <v>593</v>
      </c>
      <c r="F374" s="42">
        <f>IFERROR(AVERAGE(Data!F379), "  ")</f>
        <v>635</v>
      </c>
      <c r="G374" s="42">
        <f>IFERROR(AVERAGE(Data!G379), "  ")</f>
        <v>42</v>
      </c>
      <c r="H374" s="44">
        <f>IFERROR(AVERAGE(Data!H379), "  ")</f>
        <v>-3.0534351145038167E-2</v>
      </c>
      <c r="I374" s="44">
        <f>IFERROR(AVERAGE(Data!I379), "  ")</f>
        <v>0.20528455284552846</v>
      </c>
      <c r="J374" s="42">
        <f>IFERROR(AVERAGE(Data!J379), "  ")</f>
        <v>101</v>
      </c>
      <c r="K374" s="44">
        <f>IFERROR(AVERAGE(Data!K379), "  ")</f>
        <v>-0.11064425770308123</v>
      </c>
      <c r="L374" s="45">
        <f>IFERROR(AVERAGE(Data!L379), "  ")</f>
        <v>712.33333333333337</v>
      </c>
    </row>
    <row r="375" spans="1:12" x14ac:dyDescent="0.2">
      <c r="A375" s="43">
        <f>Data!A380</f>
        <v>41251</v>
      </c>
      <c r="B375" s="42">
        <f>IFERROR(AVERAGE(Data!B380), "  ")</f>
        <v>428</v>
      </c>
      <c r="C375" s="42">
        <f>IFERROR(AVERAGE(Data!C380), "  ")</f>
        <v>0</v>
      </c>
      <c r="D375" s="42">
        <f>IFERROR(AVERAGE(Data!D380), "  ")</f>
        <v>89</v>
      </c>
      <c r="E375" s="42">
        <f>IFERROR(AVERAGE(Data!E380), "  ")</f>
        <v>517</v>
      </c>
      <c r="F375" s="42">
        <f>IFERROR(AVERAGE(Data!F380), "  ")</f>
        <v>632</v>
      </c>
      <c r="G375" s="42">
        <f>IFERROR(AVERAGE(Data!G380), "  ")</f>
        <v>115</v>
      </c>
      <c r="H375" s="44">
        <f>IFERROR(AVERAGE(Data!H380), "  ")</f>
        <v>-4.7244094488188976E-3</v>
      </c>
      <c r="I375" s="44">
        <f>IFERROR(AVERAGE(Data!I380), "  ")</f>
        <v>-0.12816188870151771</v>
      </c>
      <c r="J375" s="42">
        <f>IFERROR(AVERAGE(Data!J380), "  ")</f>
        <v>-76</v>
      </c>
      <c r="K375" s="44">
        <f>IFERROR(AVERAGE(Data!K380), "  ")</f>
        <v>-5.9523809523809521E-2</v>
      </c>
      <c r="L375" s="45">
        <f>IFERROR(AVERAGE(Data!L380), "  ")</f>
        <v>705.66666666666663</v>
      </c>
    </row>
    <row r="376" spans="1:12" x14ac:dyDescent="0.2">
      <c r="A376" s="43">
        <f>Data!A381</f>
        <v>41258</v>
      </c>
      <c r="B376" s="42">
        <f>IFERROR(AVERAGE(Data!B381), "  ")</f>
        <v>254</v>
      </c>
      <c r="C376" s="42">
        <f>IFERROR(AVERAGE(Data!C381), "  ")</f>
        <v>24</v>
      </c>
      <c r="D376" s="42">
        <f>IFERROR(AVERAGE(Data!D381), "  ")</f>
        <v>83</v>
      </c>
      <c r="E376" s="42">
        <f>IFERROR(AVERAGE(Data!E381), "  ")</f>
        <v>361</v>
      </c>
      <c r="F376" s="42">
        <f>IFERROR(AVERAGE(Data!F381), "  ")</f>
        <v>634</v>
      </c>
      <c r="G376" s="42">
        <f>IFERROR(AVERAGE(Data!G381), "  ")</f>
        <v>273</v>
      </c>
      <c r="H376" s="44">
        <f>IFERROR(AVERAGE(Data!H381), "  ")</f>
        <v>3.1645569620253164E-3</v>
      </c>
      <c r="I376" s="44">
        <f>IFERROR(AVERAGE(Data!I381), "  ")</f>
        <v>-0.30174081237911027</v>
      </c>
      <c r="J376" s="42">
        <f>IFERROR(AVERAGE(Data!J381), "  ")</f>
        <v>-156</v>
      </c>
      <c r="K376" s="44">
        <f>IFERROR(AVERAGE(Data!K381), "  ")</f>
        <v>-3.5007610350076102E-2</v>
      </c>
      <c r="L376" s="45">
        <f>IFERROR(AVERAGE(Data!L381), "  ")</f>
        <v>618.33333333333337</v>
      </c>
    </row>
    <row r="377" spans="1:12" x14ac:dyDescent="0.2">
      <c r="A377" s="43">
        <f>Data!A382</f>
        <v>41265</v>
      </c>
      <c r="B377" s="42">
        <f>IFERROR(AVERAGE(Data!B382), "  ")</f>
        <v>163</v>
      </c>
      <c r="C377" s="42">
        <f>IFERROR(AVERAGE(Data!C382), "  ")</f>
        <v>22</v>
      </c>
      <c r="D377" s="42">
        <f>IFERROR(AVERAGE(Data!D382), "  ")</f>
        <v>97</v>
      </c>
      <c r="E377" s="42">
        <f>IFERROR(AVERAGE(Data!E382), "  ")</f>
        <v>282</v>
      </c>
      <c r="F377" s="42">
        <f>IFERROR(AVERAGE(Data!F382), "  ")</f>
        <v>696</v>
      </c>
      <c r="G377" s="42">
        <f>IFERROR(AVERAGE(Data!G382), "  ")</f>
        <v>414</v>
      </c>
      <c r="H377" s="44">
        <f>IFERROR(AVERAGE(Data!H382), "  ")</f>
        <v>9.7791798107255523E-2</v>
      </c>
      <c r="I377" s="44">
        <f>IFERROR(AVERAGE(Data!I382), "  ")</f>
        <v>-0.2188365650969529</v>
      </c>
      <c r="J377" s="42">
        <f>IFERROR(AVERAGE(Data!J382), "  ")</f>
        <v>-79</v>
      </c>
      <c r="K377" s="44">
        <f>IFERROR(AVERAGE(Data!K382), "  ")</f>
        <v>8.6956521739130436E-3</v>
      </c>
      <c r="L377" s="45">
        <f>IFERROR(AVERAGE(Data!L382), "  ")</f>
        <v>633.66666666666663</v>
      </c>
    </row>
    <row r="378" spans="1:12" x14ac:dyDescent="0.2">
      <c r="A378" s="43">
        <f>Data!A383</f>
        <v>41272</v>
      </c>
      <c r="B378" s="42">
        <f>IFERROR(AVERAGE(Data!B383), "  ")</f>
        <v>87</v>
      </c>
      <c r="C378" s="42">
        <f>IFERROR(AVERAGE(Data!C383), "  ")</f>
        <v>7</v>
      </c>
      <c r="D378" s="42">
        <f>IFERROR(AVERAGE(Data!D383), "  ")</f>
        <v>105</v>
      </c>
      <c r="E378" s="42">
        <f>IFERROR(AVERAGE(Data!E383), "  ")</f>
        <v>199</v>
      </c>
      <c r="F378" s="42">
        <f>IFERROR(AVERAGE(Data!F383), "  ")</f>
        <v>600</v>
      </c>
      <c r="G378" s="42">
        <f>IFERROR(AVERAGE(Data!G383), "  ")</f>
        <v>401</v>
      </c>
      <c r="H378" s="44">
        <f>IFERROR(AVERAGE(Data!H383), "  ")</f>
        <v>-0.13793103448275862</v>
      </c>
      <c r="I378" s="44">
        <f>IFERROR(AVERAGE(Data!I383), "  ")</f>
        <v>-0.29432624113475175</v>
      </c>
      <c r="J378" s="42">
        <f>IFERROR(AVERAGE(Data!J383), "  ")</f>
        <v>-83</v>
      </c>
      <c r="K378" s="44">
        <f>IFERROR(AVERAGE(Data!K383), "  ")</f>
        <v>8.6956521739130432E-2</v>
      </c>
      <c r="L378" s="45">
        <f>IFERROR(AVERAGE(Data!L383), "  ")</f>
        <v>584</v>
      </c>
    </row>
    <row r="379" spans="1:12" x14ac:dyDescent="0.2">
      <c r="A379" s="43">
        <f>Data!A384</f>
        <v>41279</v>
      </c>
      <c r="B379" s="42">
        <f>IFERROR(AVERAGE(Data!B384), "  ")</f>
        <v>137</v>
      </c>
      <c r="C379" s="42">
        <f>IFERROR(AVERAGE(Data!C384), "  ")</f>
        <v>38</v>
      </c>
      <c r="D379" s="42">
        <f>IFERROR(AVERAGE(Data!D384), "  ")</f>
        <v>77</v>
      </c>
      <c r="E379" s="42">
        <f>IFERROR(AVERAGE(Data!E384), "  ")</f>
        <v>252</v>
      </c>
      <c r="F379" s="42">
        <f>IFERROR(AVERAGE(Data!F384), "  ")</f>
        <v>427</v>
      </c>
      <c r="G379" s="42">
        <f>IFERROR(AVERAGE(Data!G384), "  ")</f>
        <v>175</v>
      </c>
      <c r="H379" s="44">
        <f>IFERROR(AVERAGE(Data!H384), "  ")</f>
        <v>-0.28833333333333333</v>
      </c>
      <c r="I379" s="44">
        <f>IFERROR(AVERAGE(Data!I384), "  ")</f>
        <v>0.26633165829145727</v>
      </c>
      <c r="J379" s="42">
        <f>IFERROR(AVERAGE(Data!J384), "  ")</f>
        <v>53</v>
      </c>
      <c r="K379" s="44">
        <f>IFERROR(AVERAGE(Data!K384), "  ")</f>
        <v>-0.37298091042584436</v>
      </c>
      <c r="L379" s="45">
        <f>IFERROR(AVERAGE(Data!L384), "  ")</f>
        <v>711.66666666666663</v>
      </c>
    </row>
    <row r="380" spans="1:12" x14ac:dyDescent="0.2">
      <c r="A380" s="43">
        <f>Data!A385</f>
        <v>41286</v>
      </c>
      <c r="B380" s="42">
        <f>IFERROR(AVERAGE(Data!B385), "  ")</f>
        <v>110</v>
      </c>
      <c r="C380" s="42">
        <f>IFERROR(AVERAGE(Data!C385), "  ")</f>
        <v>16</v>
      </c>
      <c r="D380" s="42">
        <f>IFERROR(AVERAGE(Data!D385), "  ")</f>
        <v>129</v>
      </c>
      <c r="E380" s="42">
        <f>IFERROR(AVERAGE(Data!E385), "  ")</f>
        <v>255</v>
      </c>
      <c r="F380" s="42">
        <f>IFERROR(AVERAGE(Data!F385), "  ")</f>
        <v>509</v>
      </c>
      <c r="G380" s="42">
        <f>IFERROR(AVERAGE(Data!G385), "  ")</f>
        <v>254</v>
      </c>
      <c r="H380" s="44">
        <f>IFERROR(AVERAGE(Data!H385), "  ")</f>
        <v>0.19203747072599531</v>
      </c>
      <c r="I380" s="44">
        <f>IFERROR(AVERAGE(Data!I385), "  ")</f>
        <v>1.1904761904761904E-2</v>
      </c>
      <c r="J380" s="42">
        <f>IFERROR(AVERAGE(Data!J385), "  ")</f>
        <v>3</v>
      </c>
      <c r="K380" s="44">
        <f>IFERROR(AVERAGE(Data!K385), "  ")</f>
        <v>-0.39404761904761904</v>
      </c>
      <c r="L380" s="45">
        <f>IFERROR(AVERAGE(Data!L385), "  ")</f>
        <v>727</v>
      </c>
    </row>
    <row r="381" spans="1:12" x14ac:dyDescent="0.2">
      <c r="A381" s="43">
        <f>Data!A386</f>
        <v>41293</v>
      </c>
      <c r="B381" s="42">
        <f>IFERROR(AVERAGE(Data!B386), "  ")</f>
        <v>184</v>
      </c>
      <c r="C381" s="42">
        <f>IFERROR(AVERAGE(Data!C386), "  ")</f>
        <v>29</v>
      </c>
      <c r="D381" s="42">
        <f>IFERROR(AVERAGE(Data!D386), "  ")</f>
        <v>145</v>
      </c>
      <c r="E381" s="42">
        <f>IFERROR(AVERAGE(Data!E386), "  ")</f>
        <v>358</v>
      </c>
      <c r="F381" s="42">
        <f>IFERROR(AVERAGE(Data!F386), "  ")</f>
        <v>572</v>
      </c>
      <c r="G381" s="42">
        <f>IFERROR(AVERAGE(Data!G386), "  ")</f>
        <v>214</v>
      </c>
      <c r="H381" s="44">
        <f>IFERROR(AVERAGE(Data!H386), "  ")</f>
        <v>0.1237721021611002</v>
      </c>
      <c r="I381" s="44">
        <f>IFERROR(AVERAGE(Data!I386), "  ")</f>
        <v>0.40392156862745099</v>
      </c>
      <c r="J381" s="42">
        <f>IFERROR(AVERAGE(Data!J386), "  ")</f>
        <v>103</v>
      </c>
      <c r="K381" s="44">
        <f>IFERROR(AVERAGE(Data!K386), "  ")</f>
        <v>-0.25906735751295334</v>
      </c>
      <c r="L381" s="45">
        <f>IFERROR(AVERAGE(Data!L386), "  ")</f>
        <v>684.33333333333337</v>
      </c>
    </row>
    <row r="382" spans="1:12" x14ac:dyDescent="0.2">
      <c r="A382" s="43">
        <f>Data!A387</f>
        <v>41300</v>
      </c>
      <c r="B382" s="42">
        <f>IFERROR(AVERAGE(Data!B387), "  ")</f>
        <v>127</v>
      </c>
      <c r="C382" s="42">
        <f>IFERROR(AVERAGE(Data!C387), "  ")</f>
        <v>16</v>
      </c>
      <c r="D382" s="42">
        <f>IFERROR(AVERAGE(Data!D387), "  ")</f>
        <v>164</v>
      </c>
      <c r="E382" s="42">
        <f>IFERROR(AVERAGE(Data!E387), "  ")</f>
        <v>307</v>
      </c>
      <c r="F382" s="42">
        <f>IFERROR(AVERAGE(Data!F387), "  ")</f>
        <v>643</v>
      </c>
      <c r="G382" s="42">
        <f>IFERROR(AVERAGE(Data!G387), "  ")</f>
        <v>336</v>
      </c>
      <c r="H382" s="44">
        <f>IFERROR(AVERAGE(Data!H387), "  ")</f>
        <v>0.12412587412587413</v>
      </c>
      <c r="I382" s="44">
        <f>IFERROR(AVERAGE(Data!I387), "  ")</f>
        <v>-0.14245810055865921</v>
      </c>
      <c r="J382" s="42">
        <f>IFERROR(AVERAGE(Data!J387), "  ")</f>
        <v>-51</v>
      </c>
      <c r="K382" s="44">
        <f>IFERROR(AVERAGE(Data!K387), "  ")</f>
        <v>-0.18915510718789408</v>
      </c>
      <c r="L382" s="45">
        <f>IFERROR(AVERAGE(Data!L387), "  ")</f>
        <v>747</v>
      </c>
    </row>
    <row r="383" spans="1:12" x14ac:dyDescent="0.2">
      <c r="A383" s="43">
        <f>Data!A388</f>
        <v>41307</v>
      </c>
      <c r="B383" s="42">
        <f>IFERROR(AVERAGE(Data!B388), "  ")</f>
        <v>105</v>
      </c>
      <c r="C383" s="42">
        <f>IFERROR(AVERAGE(Data!C388), "  ")</f>
        <v>33</v>
      </c>
      <c r="D383" s="42">
        <f>IFERROR(AVERAGE(Data!D388), "  ")</f>
        <v>135</v>
      </c>
      <c r="E383" s="42">
        <f>IFERROR(AVERAGE(Data!E388), "  ")</f>
        <v>273</v>
      </c>
      <c r="F383" s="42">
        <f>IFERROR(AVERAGE(Data!F388), "  ")</f>
        <v>513</v>
      </c>
      <c r="G383" s="42">
        <f>IFERROR(AVERAGE(Data!G388), "  ")</f>
        <v>240</v>
      </c>
      <c r="H383" s="44">
        <f>IFERROR(AVERAGE(Data!H388), "  ")</f>
        <v>-0.20217729393468117</v>
      </c>
      <c r="I383" s="44">
        <f>IFERROR(AVERAGE(Data!I388), "  ")</f>
        <v>-0.11074918566775244</v>
      </c>
      <c r="J383" s="42">
        <f>IFERROR(AVERAGE(Data!J388), "  ")</f>
        <v>-34</v>
      </c>
      <c r="K383" s="44">
        <f>IFERROR(AVERAGE(Data!K388), "  ")</f>
        <v>-0.21917808219178081</v>
      </c>
      <c r="L383" s="45">
        <f>IFERROR(AVERAGE(Data!L388), "  ")</f>
        <v>650.66666666666663</v>
      </c>
    </row>
    <row r="384" spans="1:12" x14ac:dyDescent="0.2">
      <c r="A384" s="43">
        <f>Data!A389</f>
        <v>41314</v>
      </c>
      <c r="B384" s="42">
        <f>IFERROR(AVERAGE(Data!B389), "  ")</f>
        <v>125</v>
      </c>
      <c r="C384" s="42">
        <f>IFERROR(AVERAGE(Data!C389), "  ")</f>
        <v>33</v>
      </c>
      <c r="D384" s="42">
        <f>IFERROR(AVERAGE(Data!D389), "  ")</f>
        <v>147</v>
      </c>
      <c r="E384" s="42">
        <f>IFERROR(AVERAGE(Data!E389), "  ")</f>
        <v>305</v>
      </c>
      <c r="F384" s="42">
        <f>IFERROR(AVERAGE(Data!F389), "  ")</f>
        <v>531</v>
      </c>
      <c r="G384" s="42">
        <f>IFERROR(AVERAGE(Data!G389), "  ")</f>
        <v>226</v>
      </c>
      <c r="H384" s="44">
        <f>IFERROR(AVERAGE(Data!H389), "  ")</f>
        <v>3.5087719298245612E-2</v>
      </c>
      <c r="I384" s="44">
        <f>IFERROR(AVERAGE(Data!I389), "  ")</f>
        <v>0.11721611721611722</v>
      </c>
      <c r="J384" s="42">
        <f>IFERROR(AVERAGE(Data!J389), "  ")</f>
        <v>32</v>
      </c>
      <c r="K384" s="44">
        <f>IFERROR(AVERAGE(Data!K389), "  ")</f>
        <v>-0.2552594670406732</v>
      </c>
      <c r="L384" s="45">
        <f>IFERROR(AVERAGE(Data!L389), "  ")</f>
        <v>668.33333333333337</v>
      </c>
    </row>
    <row r="385" spans="1:12" x14ac:dyDescent="0.2">
      <c r="A385" s="43">
        <f>Data!A390</f>
        <v>41321</v>
      </c>
      <c r="B385" s="42">
        <f>IFERROR(AVERAGE(Data!B390), "  ")</f>
        <v>180</v>
      </c>
      <c r="C385" s="42">
        <f>IFERROR(AVERAGE(Data!C390), "  ")</f>
        <v>22</v>
      </c>
      <c r="D385" s="42">
        <f>IFERROR(AVERAGE(Data!D390), "  ")</f>
        <v>104</v>
      </c>
      <c r="E385" s="42">
        <f>IFERROR(AVERAGE(Data!E390), "  ")</f>
        <v>306</v>
      </c>
      <c r="F385" s="42">
        <f>IFERROR(AVERAGE(Data!F390), "  ")</f>
        <v>498</v>
      </c>
      <c r="G385" s="42">
        <f>IFERROR(AVERAGE(Data!G390), "  ")</f>
        <v>192</v>
      </c>
      <c r="H385" s="44">
        <f>IFERROR(AVERAGE(Data!H390), "  ")</f>
        <v>-6.2146892655367235E-2</v>
      </c>
      <c r="I385" s="44">
        <f>IFERROR(AVERAGE(Data!I390), "  ")</f>
        <v>3.2786885245901639E-3</v>
      </c>
      <c r="J385" s="42">
        <f>IFERROR(AVERAGE(Data!J390), "  ")</f>
        <v>1</v>
      </c>
      <c r="K385" s="44">
        <f>IFERROR(AVERAGE(Data!K390), "  ")</f>
        <v>-0.17138103161397669</v>
      </c>
      <c r="L385" s="45">
        <f>IFERROR(AVERAGE(Data!L390), "  ")</f>
        <v>678</v>
      </c>
    </row>
    <row r="386" spans="1:12" x14ac:dyDescent="0.2">
      <c r="A386" s="43">
        <f>Data!A391</f>
        <v>41328</v>
      </c>
      <c r="B386" s="42">
        <f>IFERROR(AVERAGE(Data!B391), "  ")</f>
        <v>120</v>
      </c>
      <c r="C386" s="42">
        <f>IFERROR(AVERAGE(Data!C391), "  ")</f>
        <v>42</v>
      </c>
      <c r="D386" s="42">
        <f>IFERROR(AVERAGE(Data!D391), "  ")</f>
        <v>108</v>
      </c>
      <c r="E386" s="42">
        <f>IFERROR(AVERAGE(Data!E391), "  ")</f>
        <v>270</v>
      </c>
      <c r="F386" s="42">
        <f>IFERROR(AVERAGE(Data!F391), "  ")</f>
        <v>589</v>
      </c>
      <c r="G386" s="42">
        <f>IFERROR(AVERAGE(Data!G391), "  ")</f>
        <v>319</v>
      </c>
      <c r="H386" s="44">
        <f>IFERROR(AVERAGE(Data!H391), "  ")</f>
        <v>0.18273092369477911</v>
      </c>
      <c r="I386" s="44">
        <f>IFERROR(AVERAGE(Data!I391), "  ")</f>
        <v>-0.11764705882352941</v>
      </c>
      <c r="J386" s="42">
        <f>IFERROR(AVERAGE(Data!J391), "  ")</f>
        <v>-36</v>
      </c>
      <c r="K386" s="44">
        <f>IFERROR(AVERAGE(Data!K391), "  ")</f>
        <v>4.6181172291296625E-2</v>
      </c>
      <c r="L386" s="45">
        <f>IFERROR(AVERAGE(Data!L391), "  ")</f>
        <v>658.66666666666663</v>
      </c>
    </row>
    <row r="387" spans="1:12" x14ac:dyDescent="0.2">
      <c r="A387" s="43">
        <f>Data!A392</f>
        <v>41335</v>
      </c>
      <c r="B387" s="42">
        <f>IFERROR(AVERAGE(Data!B392), "  ")</f>
        <v>97</v>
      </c>
      <c r="C387" s="42">
        <f>IFERROR(AVERAGE(Data!C392), "  ")</f>
        <v>21</v>
      </c>
      <c r="D387" s="42">
        <f>IFERROR(AVERAGE(Data!D392), "  ")</f>
        <v>100</v>
      </c>
      <c r="E387" s="42">
        <f>IFERROR(AVERAGE(Data!E392), "  ")</f>
        <v>218</v>
      </c>
      <c r="F387" s="42">
        <f>IFERROR(AVERAGE(Data!F392), "  ")</f>
        <v>503</v>
      </c>
      <c r="G387" s="42">
        <f>IFERROR(AVERAGE(Data!G392), "  ")</f>
        <v>285</v>
      </c>
      <c r="H387" s="44">
        <f>IFERROR(AVERAGE(Data!H392), "  ")</f>
        <v>-0.14601018675721561</v>
      </c>
      <c r="I387" s="44">
        <f>IFERROR(AVERAGE(Data!I392), "  ")</f>
        <v>-0.19259259259259259</v>
      </c>
      <c r="J387" s="42">
        <f>IFERROR(AVERAGE(Data!J392), "  ")</f>
        <v>-52</v>
      </c>
      <c r="K387" s="44">
        <f>IFERROR(AVERAGE(Data!K392), "  ")</f>
        <v>-0.15177065767284992</v>
      </c>
      <c r="L387" s="45">
        <f>IFERROR(AVERAGE(Data!L392), "  ")</f>
        <v>628</v>
      </c>
    </row>
    <row r="388" spans="1:12" x14ac:dyDescent="0.2">
      <c r="A388" s="43">
        <f>Data!A393</f>
        <v>41342</v>
      </c>
      <c r="B388" s="42">
        <f>IFERROR(AVERAGE(Data!B393), "  ")</f>
        <v>236</v>
      </c>
      <c r="C388" s="42">
        <f>IFERROR(AVERAGE(Data!C393), "  ")</f>
        <v>26</v>
      </c>
      <c r="D388" s="42">
        <f>IFERROR(AVERAGE(Data!D393), "  ")</f>
        <v>114</v>
      </c>
      <c r="E388" s="42">
        <f>IFERROR(AVERAGE(Data!E393), "  ")</f>
        <v>376</v>
      </c>
      <c r="F388" s="42">
        <f>IFERROR(AVERAGE(Data!F393), "  ")</f>
        <v>380</v>
      </c>
      <c r="G388" s="42">
        <f>IFERROR(AVERAGE(Data!G393), "  ")</f>
        <v>4</v>
      </c>
      <c r="H388" s="44">
        <f>IFERROR(AVERAGE(Data!H393), "  ")</f>
        <v>-0.24453280318091453</v>
      </c>
      <c r="I388" s="44">
        <f>IFERROR(AVERAGE(Data!I393), "  ")</f>
        <v>0.72477064220183485</v>
      </c>
      <c r="J388" s="42">
        <f>IFERROR(AVERAGE(Data!J393), "  ")</f>
        <v>158</v>
      </c>
      <c r="K388" s="44">
        <f>IFERROR(AVERAGE(Data!K393), "  ")</f>
        <v>-0.22920892494929007</v>
      </c>
      <c r="L388" s="45">
        <f>IFERROR(AVERAGE(Data!L393), "  ")</f>
        <v>546.33333333333337</v>
      </c>
    </row>
    <row r="389" spans="1:12" x14ac:dyDescent="0.2">
      <c r="A389" s="43">
        <f>Data!A394</f>
        <v>41349</v>
      </c>
      <c r="B389" s="42">
        <f>IFERROR(AVERAGE(Data!B394), "  ")</f>
        <v>169</v>
      </c>
      <c r="C389" s="42">
        <f>IFERROR(AVERAGE(Data!C394), "  ")</f>
        <v>28</v>
      </c>
      <c r="D389" s="42">
        <f>IFERROR(AVERAGE(Data!D394), "  ")</f>
        <v>93</v>
      </c>
      <c r="E389" s="42">
        <f>IFERROR(AVERAGE(Data!E394), "  ")</f>
        <v>290</v>
      </c>
      <c r="F389" s="42">
        <f>IFERROR(AVERAGE(Data!F394), "  ")</f>
        <v>448</v>
      </c>
      <c r="G389" s="42">
        <f>IFERROR(AVERAGE(Data!G394), "  ")</f>
        <v>158</v>
      </c>
      <c r="H389" s="44">
        <f>IFERROR(AVERAGE(Data!H394), "  ")</f>
        <v>0.17894736842105263</v>
      </c>
      <c r="I389" s="44">
        <f>IFERROR(AVERAGE(Data!I394), "  ")</f>
        <v>-0.22872340425531915</v>
      </c>
      <c r="J389" s="42">
        <f>IFERROR(AVERAGE(Data!J394), "  ")</f>
        <v>-86</v>
      </c>
      <c r="K389" s="44">
        <f>IFERROR(AVERAGE(Data!K394), "  ")</f>
        <v>-1.9693654266958426E-2</v>
      </c>
      <c r="L389" s="45">
        <f>IFERROR(AVERAGE(Data!L394), "  ")</f>
        <v>596.33333333333337</v>
      </c>
    </row>
    <row r="390" spans="1:12" x14ac:dyDescent="0.2">
      <c r="A390" s="43">
        <f>Data!A395</f>
        <v>41356</v>
      </c>
      <c r="B390" s="42">
        <f>IFERROR(AVERAGE(Data!B395), "  ")</f>
        <v>159</v>
      </c>
      <c r="C390" s="42">
        <f>IFERROR(AVERAGE(Data!C395), "  ")</f>
        <v>31</v>
      </c>
      <c r="D390" s="42">
        <f>IFERROR(AVERAGE(Data!D395), "  ")</f>
        <v>58</v>
      </c>
      <c r="E390" s="42">
        <f>IFERROR(AVERAGE(Data!E395), "  ")</f>
        <v>248</v>
      </c>
      <c r="F390" s="42">
        <f>IFERROR(AVERAGE(Data!F395), "  ")</f>
        <v>397</v>
      </c>
      <c r="G390" s="42">
        <f>IFERROR(AVERAGE(Data!G395), "  ")</f>
        <v>149</v>
      </c>
      <c r="H390" s="44">
        <f>IFERROR(AVERAGE(Data!H395), "  ")</f>
        <v>-0.11383928571428571</v>
      </c>
      <c r="I390" s="44">
        <f>IFERROR(AVERAGE(Data!I395), "  ")</f>
        <v>-0.14482758620689656</v>
      </c>
      <c r="J390" s="42">
        <f>IFERROR(AVERAGE(Data!J395), "  ")</f>
        <v>-42</v>
      </c>
      <c r="K390" s="44">
        <f>IFERROR(AVERAGE(Data!K395), "  ")</f>
        <v>-0.19959677419354838</v>
      </c>
      <c r="L390" s="45">
        <f>IFERROR(AVERAGE(Data!L395), "  ")</f>
        <v>591.33333333333337</v>
      </c>
    </row>
    <row r="391" spans="1:12" x14ac:dyDescent="0.2">
      <c r="A391" s="43">
        <f>Data!A396</f>
        <v>41363</v>
      </c>
      <c r="B391" s="42">
        <f>IFERROR(AVERAGE(Data!B396), "  ")</f>
        <v>170</v>
      </c>
      <c r="C391" s="42">
        <f>IFERROR(AVERAGE(Data!C396), "  ")</f>
        <v>24</v>
      </c>
      <c r="D391" s="42">
        <f>IFERROR(AVERAGE(Data!D396), "  ")</f>
        <v>56</v>
      </c>
      <c r="E391" s="42">
        <f>IFERROR(AVERAGE(Data!E396), "  ")</f>
        <v>250</v>
      </c>
      <c r="F391" s="42">
        <f>IFERROR(AVERAGE(Data!F396), "  ")</f>
        <v>363</v>
      </c>
      <c r="G391" s="42">
        <f>IFERROR(AVERAGE(Data!G396), "  ")</f>
        <v>113</v>
      </c>
      <c r="H391" s="44">
        <f>IFERROR(AVERAGE(Data!H396), "  ")</f>
        <v>-8.5642317380352648E-2</v>
      </c>
      <c r="I391" s="44">
        <f>IFERROR(AVERAGE(Data!I396), "  ")</f>
        <v>8.0645161290322578E-3</v>
      </c>
      <c r="J391" s="42">
        <f>IFERROR(AVERAGE(Data!J396), "  ")</f>
        <v>2</v>
      </c>
      <c r="K391" s="44">
        <f>IFERROR(AVERAGE(Data!K396), "  ")</f>
        <v>-0.24688796680497926</v>
      </c>
      <c r="L391" s="45">
        <f>IFERROR(AVERAGE(Data!L396), "  ")</f>
        <v>468</v>
      </c>
    </row>
    <row r="392" spans="1:12" x14ac:dyDescent="0.2">
      <c r="A392" s="43">
        <f>Data!A397</f>
        <v>41370</v>
      </c>
      <c r="B392" s="42">
        <f>IFERROR(AVERAGE(Data!B397), "  ")</f>
        <v>98</v>
      </c>
      <c r="C392" s="42">
        <f>IFERROR(AVERAGE(Data!C397), "  ")</f>
        <v>21</v>
      </c>
      <c r="D392" s="42">
        <f>IFERROR(AVERAGE(Data!D397), "  ")</f>
        <v>63</v>
      </c>
      <c r="E392" s="42">
        <f>IFERROR(AVERAGE(Data!E397), "  ")</f>
        <v>182</v>
      </c>
      <c r="F392" s="42">
        <f>IFERROR(AVERAGE(Data!F397), "  ")</f>
        <v>311</v>
      </c>
      <c r="G392" s="42">
        <f>IFERROR(AVERAGE(Data!G397), "  ")</f>
        <v>129</v>
      </c>
      <c r="H392" s="44">
        <f>IFERROR(AVERAGE(Data!H397), "  ")</f>
        <v>-0.14325068870523416</v>
      </c>
      <c r="I392" s="44">
        <f>IFERROR(AVERAGE(Data!I397), "  ")</f>
        <v>-0.27200000000000002</v>
      </c>
      <c r="J392" s="42">
        <f>IFERROR(AVERAGE(Data!J397), "  ")</f>
        <v>-68</v>
      </c>
      <c r="K392" s="44">
        <f>IFERROR(AVERAGE(Data!K397), "  ")</f>
        <v>-0.37171717171717172</v>
      </c>
      <c r="L392" s="45">
        <f>IFERROR(AVERAGE(Data!L397), "  ")</f>
        <v>476.33333333333331</v>
      </c>
    </row>
    <row r="393" spans="1:12" x14ac:dyDescent="0.2">
      <c r="A393" s="43">
        <f>Data!A398</f>
        <v>41377</v>
      </c>
      <c r="B393" s="42">
        <f>IFERROR(AVERAGE(Data!B398), "  ")</f>
        <v>136</v>
      </c>
      <c r="C393" s="42">
        <f>IFERROR(AVERAGE(Data!C398), "  ")</f>
        <v>24</v>
      </c>
      <c r="D393" s="42">
        <f>IFERROR(AVERAGE(Data!D398), "  ")</f>
        <v>56</v>
      </c>
      <c r="E393" s="42">
        <f>IFERROR(AVERAGE(Data!E398), "  ")</f>
        <v>216</v>
      </c>
      <c r="F393" s="42">
        <f>IFERROR(AVERAGE(Data!F398), "  ")</f>
        <v>327</v>
      </c>
      <c r="G393" s="42">
        <f>IFERROR(AVERAGE(Data!G398), "  ")</f>
        <v>111</v>
      </c>
      <c r="H393" s="44">
        <f>IFERROR(AVERAGE(Data!H398), "  ")</f>
        <v>5.1446945337620578E-2</v>
      </c>
      <c r="I393" s="44">
        <f>IFERROR(AVERAGE(Data!I398), "  ")</f>
        <v>0.18681318681318682</v>
      </c>
      <c r="J393" s="42">
        <f>IFERROR(AVERAGE(Data!J398), "  ")</f>
        <v>34</v>
      </c>
      <c r="K393" s="44">
        <f>IFERROR(AVERAGE(Data!K398), "  ")</f>
        <v>-0.49614791987673346</v>
      </c>
      <c r="L393" s="45">
        <f>IFERROR(AVERAGE(Data!L398), "  ")</f>
        <v>519</v>
      </c>
    </row>
    <row r="394" spans="1:12" x14ac:dyDescent="0.2">
      <c r="A394" s="43">
        <f>Data!A399</f>
        <v>41384</v>
      </c>
      <c r="B394" s="42">
        <f>IFERROR(AVERAGE(Data!B399), "  ")</f>
        <v>111</v>
      </c>
      <c r="C394" s="42">
        <f>IFERROR(AVERAGE(Data!C399), "  ")</f>
        <v>21</v>
      </c>
      <c r="D394" s="42">
        <f>IFERROR(AVERAGE(Data!D399), "  ")</f>
        <v>46</v>
      </c>
      <c r="E394" s="42">
        <f>IFERROR(AVERAGE(Data!E399), "  ")</f>
        <v>178</v>
      </c>
      <c r="F394" s="42">
        <f>IFERROR(AVERAGE(Data!F399), "  ")</f>
        <v>378</v>
      </c>
      <c r="G394" s="42">
        <f>IFERROR(AVERAGE(Data!G399), "  ")</f>
        <v>200</v>
      </c>
      <c r="H394" s="44">
        <f>IFERROR(AVERAGE(Data!H399), "  ")</f>
        <v>0.15596330275229359</v>
      </c>
      <c r="I394" s="44">
        <f>IFERROR(AVERAGE(Data!I399), "  ")</f>
        <v>-0.17592592592592593</v>
      </c>
      <c r="J394" s="42">
        <f>IFERROR(AVERAGE(Data!J399), "  ")</f>
        <v>-38</v>
      </c>
      <c r="K394" s="44">
        <f>IFERROR(AVERAGE(Data!K399), "  ")</f>
        <v>-0.20588235294117646</v>
      </c>
      <c r="L394" s="45">
        <f>IFERROR(AVERAGE(Data!L399), "  ")</f>
        <v>366</v>
      </c>
    </row>
    <row r="395" spans="1:12" x14ac:dyDescent="0.2">
      <c r="A395" s="43">
        <f>Data!A400</f>
        <v>41391</v>
      </c>
      <c r="B395" s="42">
        <f>IFERROR(AVERAGE(Data!B400), "  ")</f>
        <v>25</v>
      </c>
      <c r="C395" s="42">
        <f>IFERROR(AVERAGE(Data!C400), "  ")</f>
        <v>24</v>
      </c>
      <c r="D395" s="42">
        <f>IFERROR(AVERAGE(Data!D400), "  ")</f>
        <v>27</v>
      </c>
      <c r="E395" s="42">
        <f>IFERROR(AVERAGE(Data!E400), "  ")</f>
        <v>76</v>
      </c>
      <c r="F395" s="42">
        <f>IFERROR(AVERAGE(Data!F400), "  ")</f>
        <v>278</v>
      </c>
      <c r="G395" s="42">
        <f>IFERROR(AVERAGE(Data!G400), "  ")</f>
        <v>202</v>
      </c>
      <c r="H395" s="44">
        <f>IFERROR(AVERAGE(Data!H400), "  ")</f>
        <v>-0.26455026455026454</v>
      </c>
      <c r="I395" s="44">
        <f>IFERROR(AVERAGE(Data!I400), "  ")</f>
        <v>-0.5730337078651685</v>
      </c>
      <c r="J395" s="42">
        <f>IFERROR(AVERAGE(Data!J400), "  ")</f>
        <v>-102</v>
      </c>
      <c r="K395" s="44">
        <f>IFERROR(AVERAGE(Data!K400), "  ")</f>
        <v>-0.10897435897435898</v>
      </c>
      <c r="L395" s="45">
        <f>IFERROR(AVERAGE(Data!L400), "  ")</f>
        <v>335.66666666666669</v>
      </c>
    </row>
    <row r="396" spans="1:12" x14ac:dyDescent="0.2">
      <c r="A396" s="43">
        <f>Data!A401</f>
        <v>41398</v>
      </c>
      <c r="B396" s="42">
        <f>IFERROR(AVERAGE(Data!B401), "  ")</f>
        <v>190</v>
      </c>
      <c r="C396" s="42">
        <f>IFERROR(AVERAGE(Data!C401), "  ")</f>
        <v>22</v>
      </c>
      <c r="D396" s="42">
        <f>IFERROR(AVERAGE(Data!D401), "  ")</f>
        <v>79</v>
      </c>
      <c r="E396" s="42">
        <f>IFERROR(AVERAGE(Data!E401), "  ")</f>
        <v>291</v>
      </c>
      <c r="F396" s="42">
        <f>IFERROR(AVERAGE(Data!F401), "  ")</f>
        <v>234</v>
      </c>
      <c r="G396" s="42">
        <f>IFERROR(AVERAGE(Data!G401), "  ")</f>
        <v>-57</v>
      </c>
      <c r="H396" s="44">
        <f>IFERROR(AVERAGE(Data!H401), "  ")</f>
        <v>-0.15827338129496402</v>
      </c>
      <c r="I396" s="44">
        <f>IFERROR(AVERAGE(Data!I401), "  ")</f>
        <v>2.8289473684210527</v>
      </c>
      <c r="J396" s="42">
        <f>IFERROR(AVERAGE(Data!J401), "  ")</f>
        <v>215</v>
      </c>
      <c r="K396" s="44">
        <f>IFERROR(AVERAGE(Data!K401), "  ")</f>
        <v>-0.4375</v>
      </c>
      <c r="L396" s="45">
        <f>IFERROR(AVERAGE(Data!L401), "  ")</f>
        <v>408.33333333333331</v>
      </c>
    </row>
    <row r="397" spans="1:12" x14ac:dyDescent="0.2">
      <c r="A397" s="43">
        <f>Data!A402</f>
        <v>41405</v>
      </c>
      <c r="B397" s="42">
        <f>IFERROR(AVERAGE(Data!B402), "  ")</f>
        <v>135</v>
      </c>
      <c r="C397" s="42">
        <f>IFERROR(AVERAGE(Data!C402), "  ")</f>
        <v>15</v>
      </c>
      <c r="D397" s="42">
        <f>IFERROR(AVERAGE(Data!D402), "  ")</f>
        <v>54</v>
      </c>
      <c r="E397" s="42">
        <f>IFERROR(AVERAGE(Data!E402), "  ")</f>
        <v>204</v>
      </c>
      <c r="F397" s="42">
        <f>IFERROR(AVERAGE(Data!F402), "  ")</f>
        <v>202</v>
      </c>
      <c r="G397" s="42">
        <f>IFERROR(AVERAGE(Data!G402), "  ")</f>
        <v>-2</v>
      </c>
      <c r="H397" s="44">
        <f>IFERROR(AVERAGE(Data!H402), "  ")</f>
        <v>-0.13675213675213677</v>
      </c>
      <c r="I397" s="44">
        <f>IFERROR(AVERAGE(Data!I402), "  ")</f>
        <v>-0.29896907216494845</v>
      </c>
      <c r="J397" s="42">
        <f>IFERROR(AVERAGE(Data!J402), "  ")</f>
        <v>-87</v>
      </c>
      <c r="K397" s="44">
        <f>IFERROR(AVERAGE(Data!K402), "  ")</f>
        <v>-0.68970814132104452</v>
      </c>
      <c r="L397" s="45">
        <f>IFERROR(AVERAGE(Data!L402), "  ")</f>
        <v>480.66666666666669</v>
      </c>
    </row>
    <row r="398" spans="1:12" x14ac:dyDescent="0.2">
      <c r="A398" s="43">
        <f>Data!A403</f>
        <v>41412</v>
      </c>
      <c r="B398" s="42">
        <f>IFERROR(AVERAGE(Data!B403), "  ")</f>
        <v>240</v>
      </c>
      <c r="C398" s="42">
        <f>IFERROR(AVERAGE(Data!C403), "  ")</f>
        <v>16</v>
      </c>
      <c r="D398" s="42">
        <f>IFERROR(AVERAGE(Data!D403), "  ")</f>
        <v>33</v>
      </c>
      <c r="E398" s="42">
        <f>IFERROR(AVERAGE(Data!E403), "  ")</f>
        <v>289</v>
      </c>
      <c r="F398" s="42">
        <f>IFERROR(AVERAGE(Data!F403), "  ")</f>
        <v>376</v>
      </c>
      <c r="G398" s="42">
        <f>IFERROR(AVERAGE(Data!G403), "  ")</f>
        <v>87</v>
      </c>
      <c r="H398" s="44">
        <f>IFERROR(AVERAGE(Data!H403), "  ")</f>
        <v>0.86138613861386137</v>
      </c>
      <c r="I398" s="44">
        <f>IFERROR(AVERAGE(Data!I403), "  ")</f>
        <v>0.41666666666666669</v>
      </c>
      <c r="J398" s="42">
        <f>IFERROR(AVERAGE(Data!J403), "  ")</f>
        <v>85</v>
      </c>
      <c r="K398" s="44">
        <f>IFERROR(AVERAGE(Data!K403), "  ")</f>
        <v>-9.8321342925659472E-2</v>
      </c>
      <c r="L398" s="45">
        <f>IFERROR(AVERAGE(Data!L403), "  ")</f>
        <v>432.66666666666669</v>
      </c>
    </row>
    <row r="399" spans="1:12" x14ac:dyDescent="0.2">
      <c r="A399" s="43">
        <f>Data!A404</f>
        <v>41419</v>
      </c>
      <c r="B399" s="42">
        <f>IFERROR(AVERAGE(Data!B404), "  ")</f>
        <v>212</v>
      </c>
      <c r="C399" s="42">
        <f>IFERROR(AVERAGE(Data!C404), "  ")</f>
        <v>17</v>
      </c>
      <c r="D399" s="42">
        <f>IFERROR(AVERAGE(Data!D404), "  ")</f>
        <v>42</v>
      </c>
      <c r="E399" s="42">
        <f>IFERROR(AVERAGE(Data!E404), "  ")</f>
        <v>271</v>
      </c>
      <c r="F399" s="42">
        <f>IFERROR(AVERAGE(Data!F404), "  ")</f>
        <v>382</v>
      </c>
      <c r="G399" s="42">
        <f>IFERROR(AVERAGE(Data!G404), "  ")</f>
        <v>111</v>
      </c>
      <c r="H399" s="44">
        <f>IFERROR(AVERAGE(Data!H404), "  ")</f>
        <v>1.5957446808510637E-2</v>
      </c>
      <c r="I399" s="44">
        <f>IFERROR(AVERAGE(Data!I404), "  ")</f>
        <v>-6.228373702422145E-2</v>
      </c>
      <c r="J399" s="42">
        <f>IFERROR(AVERAGE(Data!J404), "  ")</f>
        <v>-18</v>
      </c>
      <c r="K399" s="44">
        <f>IFERROR(AVERAGE(Data!K404), "  ")</f>
        <v>-0.11162790697674418</v>
      </c>
      <c r="L399" s="45">
        <f>IFERROR(AVERAGE(Data!L404), "  ")</f>
        <v>433.33333333333331</v>
      </c>
    </row>
    <row r="400" spans="1:12" x14ac:dyDescent="0.2">
      <c r="A400" s="43">
        <f>Data!A405</f>
        <v>41426</v>
      </c>
      <c r="B400" s="42">
        <f>IFERROR(AVERAGE(Data!B405), "  ")</f>
        <v>208</v>
      </c>
      <c r="C400" s="42">
        <f>IFERROR(AVERAGE(Data!C405), "  ")</f>
        <v>7</v>
      </c>
      <c r="D400" s="42">
        <f>IFERROR(AVERAGE(Data!D405), "  ")</f>
        <v>33</v>
      </c>
      <c r="E400" s="42">
        <f>IFERROR(AVERAGE(Data!E405), "  ")</f>
        <v>248</v>
      </c>
      <c r="F400" s="42">
        <f>IFERROR(AVERAGE(Data!F405), "  ")</f>
        <v>267</v>
      </c>
      <c r="G400" s="42">
        <f>IFERROR(AVERAGE(Data!G405), "  ")</f>
        <v>19</v>
      </c>
      <c r="H400" s="44">
        <f>IFERROR(AVERAGE(Data!H405), "  ")</f>
        <v>-0.30104712041884818</v>
      </c>
      <c r="I400" s="44">
        <f>IFERROR(AVERAGE(Data!I405), "  ")</f>
        <v>-8.4870848708487087E-2</v>
      </c>
      <c r="J400" s="42">
        <f>IFERROR(AVERAGE(Data!J405), "  ")</f>
        <v>-23</v>
      </c>
      <c r="K400" s="44">
        <f>IFERROR(AVERAGE(Data!K405), "  ")</f>
        <v>-0.25833333333333336</v>
      </c>
      <c r="L400" s="45">
        <f>IFERROR(AVERAGE(Data!L405), "  ")</f>
        <v>409.33333333333331</v>
      </c>
    </row>
    <row r="401" spans="1:12" x14ac:dyDescent="0.2">
      <c r="A401" s="43">
        <f>Data!A406</f>
        <v>41433</v>
      </c>
      <c r="B401" s="42">
        <f>IFERROR(AVERAGE(Data!B406), "  ")</f>
        <v>47</v>
      </c>
      <c r="C401" s="42">
        <f>IFERROR(AVERAGE(Data!C406), "  ")</f>
        <v>14</v>
      </c>
      <c r="D401" s="42">
        <f>IFERROR(AVERAGE(Data!D406), "  ")</f>
        <v>35</v>
      </c>
      <c r="E401" s="42">
        <f>IFERROR(AVERAGE(Data!E406), "  ")</f>
        <v>96</v>
      </c>
      <c r="F401" s="42">
        <f>IFERROR(AVERAGE(Data!F406), "  ")</f>
        <v>313</v>
      </c>
      <c r="G401" s="42">
        <f>IFERROR(AVERAGE(Data!G406), "  ")</f>
        <v>217</v>
      </c>
      <c r="H401" s="44">
        <f>IFERROR(AVERAGE(Data!H406), "  ")</f>
        <v>0.17228464419475656</v>
      </c>
      <c r="I401" s="44">
        <f>IFERROR(AVERAGE(Data!I406), "  ")</f>
        <v>-0.61290322580645162</v>
      </c>
      <c r="J401" s="42">
        <f>IFERROR(AVERAGE(Data!J406), "  ")</f>
        <v>-152</v>
      </c>
      <c r="K401" s="44">
        <f>IFERROR(AVERAGE(Data!K406), "  ")</f>
        <v>0.2880658436213992</v>
      </c>
      <c r="L401" s="45">
        <f>IFERROR(AVERAGE(Data!L406), "  ")</f>
        <v>335.33333333333331</v>
      </c>
    </row>
    <row r="402" spans="1:12" x14ac:dyDescent="0.2">
      <c r="A402" s="43">
        <f>Data!A407</f>
        <v>41440</v>
      </c>
      <c r="B402" s="42">
        <f>IFERROR(AVERAGE(Data!B407), "  ")</f>
        <v>195</v>
      </c>
      <c r="C402" s="42">
        <f>IFERROR(AVERAGE(Data!C407), "  ")</f>
        <v>11</v>
      </c>
      <c r="D402" s="42">
        <f>IFERROR(AVERAGE(Data!D407), "  ")</f>
        <v>37</v>
      </c>
      <c r="E402" s="42">
        <f>IFERROR(AVERAGE(Data!E407), "  ")</f>
        <v>243</v>
      </c>
      <c r="F402" s="42">
        <f>IFERROR(AVERAGE(Data!F407), "  ")</f>
        <v>260</v>
      </c>
      <c r="G402" s="42">
        <f>IFERROR(AVERAGE(Data!G407), "  ")</f>
        <v>17</v>
      </c>
      <c r="H402" s="44">
        <f>IFERROR(AVERAGE(Data!H407), "  ")</f>
        <v>-0.16932907348242812</v>
      </c>
      <c r="I402" s="44">
        <f>IFERROR(AVERAGE(Data!I407), "  ")</f>
        <v>1.53125</v>
      </c>
      <c r="J402" s="42">
        <f>IFERROR(AVERAGE(Data!J407), "  ")</f>
        <v>147</v>
      </c>
      <c r="K402" s="44">
        <f>IFERROR(AVERAGE(Data!K407), "  ")</f>
        <v>-0.38823529411764707</v>
      </c>
      <c r="L402" s="45">
        <f>IFERROR(AVERAGE(Data!L407), "  ")</f>
        <v>415.66666666666669</v>
      </c>
    </row>
    <row r="403" spans="1:12" x14ac:dyDescent="0.2">
      <c r="A403" s="43">
        <f>Data!A408</f>
        <v>41447</v>
      </c>
      <c r="B403" s="42">
        <f>IFERROR(AVERAGE(Data!B408), "  ")</f>
        <v>233</v>
      </c>
      <c r="C403" s="42">
        <f>IFERROR(AVERAGE(Data!C408), "  ")</f>
        <v>36</v>
      </c>
      <c r="D403" s="42">
        <f>IFERROR(AVERAGE(Data!D408), "  ")</f>
        <v>58</v>
      </c>
      <c r="E403" s="42">
        <f>IFERROR(AVERAGE(Data!E408), "  ")</f>
        <v>327</v>
      </c>
      <c r="F403" s="42">
        <f>IFERROR(AVERAGE(Data!F408), "  ")</f>
        <v>328</v>
      </c>
      <c r="G403" s="42">
        <f>IFERROR(AVERAGE(Data!G408), "  ")</f>
        <v>1</v>
      </c>
      <c r="H403" s="44">
        <f>IFERROR(AVERAGE(Data!H408), "  ")</f>
        <v>0.26153846153846155</v>
      </c>
      <c r="I403" s="44">
        <f>IFERROR(AVERAGE(Data!I408), "  ")</f>
        <v>0.34567901234567899</v>
      </c>
      <c r="J403" s="42">
        <f>IFERROR(AVERAGE(Data!J408), "  ")</f>
        <v>84</v>
      </c>
      <c r="K403" s="44">
        <f>IFERROR(AVERAGE(Data!K408), "  ")</f>
        <v>-0.10382513661202186</v>
      </c>
      <c r="L403" s="45">
        <f>IFERROR(AVERAGE(Data!L408), "  ")</f>
        <v>425.33333333333331</v>
      </c>
    </row>
    <row r="404" spans="1:12" x14ac:dyDescent="0.2">
      <c r="A404" s="43">
        <f>Data!A409</f>
        <v>41454</v>
      </c>
      <c r="B404" s="42">
        <f>IFERROR(AVERAGE(Data!B409), "  ")</f>
        <v>208</v>
      </c>
      <c r="C404" s="42">
        <f>IFERROR(AVERAGE(Data!C409), "  ")</f>
        <v>22</v>
      </c>
      <c r="D404" s="42">
        <f>IFERROR(AVERAGE(Data!D409), "  ")</f>
        <v>38</v>
      </c>
      <c r="E404" s="42">
        <f>IFERROR(AVERAGE(Data!E409), "  ")</f>
        <v>268</v>
      </c>
      <c r="F404" s="42">
        <f>IFERROR(AVERAGE(Data!F409), "  ")</f>
        <v>394</v>
      </c>
      <c r="G404" s="42">
        <f>IFERROR(AVERAGE(Data!G409), "  ")</f>
        <v>126</v>
      </c>
      <c r="H404" s="44">
        <f>IFERROR(AVERAGE(Data!H409), "  ")</f>
        <v>0.20121951219512196</v>
      </c>
      <c r="I404" s="44">
        <f>IFERROR(AVERAGE(Data!I409), "  ")</f>
        <v>-0.18042813455657492</v>
      </c>
      <c r="J404" s="42">
        <f>IFERROR(AVERAGE(Data!J409), "  ")</f>
        <v>-59</v>
      </c>
      <c r="K404" s="44">
        <f>IFERROR(AVERAGE(Data!K409), "  ")</f>
        <v>-0.20883534136546184</v>
      </c>
      <c r="L404" s="45">
        <f>IFERROR(AVERAGE(Data!L409), "  ")</f>
        <v>455.33333333333331</v>
      </c>
    </row>
    <row r="405" spans="1:12" x14ac:dyDescent="0.2">
      <c r="A405" s="43">
        <f>Data!A410</f>
        <v>41461</v>
      </c>
      <c r="B405" s="42">
        <f>IFERROR(AVERAGE(Data!B410), "  ")</f>
        <v>102</v>
      </c>
      <c r="C405" s="42">
        <f>IFERROR(AVERAGE(Data!C410), "  ")</f>
        <v>41</v>
      </c>
      <c r="D405" s="42">
        <f>IFERROR(AVERAGE(Data!D410), "  ")</f>
        <v>101</v>
      </c>
      <c r="E405" s="42">
        <f>IFERROR(AVERAGE(Data!E410), "  ")</f>
        <v>244</v>
      </c>
      <c r="F405" s="42">
        <f>IFERROR(AVERAGE(Data!F410), "  ")</f>
        <v>287</v>
      </c>
      <c r="G405" s="42">
        <f>IFERROR(AVERAGE(Data!G410), "  ")</f>
        <v>43</v>
      </c>
      <c r="H405" s="44">
        <f>IFERROR(AVERAGE(Data!H410), "  ")</f>
        <v>-0.27157360406091369</v>
      </c>
      <c r="I405" s="44">
        <f>IFERROR(AVERAGE(Data!I410), "  ")</f>
        <v>-8.9552238805970144E-2</v>
      </c>
      <c r="J405" s="42">
        <f>IFERROR(AVERAGE(Data!J410), "  ")</f>
        <v>-24</v>
      </c>
      <c r="K405" s="44">
        <f>IFERROR(AVERAGE(Data!K410), "  ")</f>
        <v>-0.36080178173719374</v>
      </c>
      <c r="L405" s="45">
        <f>IFERROR(AVERAGE(Data!L410), "  ")</f>
        <v>458</v>
      </c>
    </row>
    <row r="406" spans="1:12" x14ac:dyDescent="0.2">
      <c r="A406" s="43">
        <f>Data!A411</f>
        <v>41468</v>
      </c>
      <c r="B406" s="42">
        <f>IFERROR(AVERAGE(Data!B411), "  ")</f>
        <v>251</v>
      </c>
      <c r="C406" s="42">
        <f>IFERROR(AVERAGE(Data!C411), "  ")</f>
        <v>64</v>
      </c>
      <c r="D406" s="42">
        <f>IFERROR(AVERAGE(Data!D411), "  ")</f>
        <v>83</v>
      </c>
      <c r="E406" s="42">
        <f>IFERROR(AVERAGE(Data!E411), "  ")</f>
        <v>398</v>
      </c>
      <c r="F406" s="42">
        <f>IFERROR(AVERAGE(Data!F411), "  ")</f>
        <v>430</v>
      </c>
      <c r="G406" s="42">
        <f>IFERROR(AVERAGE(Data!G411), "  ")</f>
        <v>32</v>
      </c>
      <c r="H406" s="44">
        <f>IFERROR(AVERAGE(Data!H411), "  ")</f>
        <v>0.49825783972125437</v>
      </c>
      <c r="I406" s="44">
        <f>IFERROR(AVERAGE(Data!I411), "  ")</f>
        <v>0.63114754098360659</v>
      </c>
      <c r="J406" s="42">
        <f>IFERROR(AVERAGE(Data!J411), "  ")</f>
        <v>154</v>
      </c>
      <c r="K406" s="44">
        <f>IFERROR(AVERAGE(Data!K411), "  ")</f>
        <v>9.9744245524296671E-2</v>
      </c>
      <c r="L406" s="45">
        <f>IFERROR(AVERAGE(Data!L411), "  ")</f>
        <v>471</v>
      </c>
    </row>
    <row r="407" spans="1:12" x14ac:dyDescent="0.2">
      <c r="A407" s="43">
        <f>Data!A412</f>
        <v>41475</v>
      </c>
      <c r="B407" s="42">
        <f>IFERROR(AVERAGE(Data!B412), "  ")</f>
        <v>125</v>
      </c>
      <c r="C407" s="42">
        <f>IFERROR(AVERAGE(Data!C412), "  ")</f>
        <v>29</v>
      </c>
      <c r="D407" s="42">
        <f>IFERROR(AVERAGE(Data!D412), "  ")</f>
        <v>67</v>
      </c>
      <c r="E407" s="42">
        <f>IFERROR(AVERAGE(Data!E412), "  ")</f>
        <v>221</v>
      </c>
      <c r="F407" s="42">
        <f>IFERROR(AVERAGE(Data!F412), "  ")</f>
        <v>315</v>
      </c>
      <c r="G407" s="42">
        <f>IFERROR(AVERAGE(Data!G412), "  ")</f>
        <v>94</v>
      </c>
      <c r="H407" s="44">
        <f>IFERROR(AVERAGE(Data!H412), "  ")</f>
        <v>-0.26744186046511625</v>
      </c>
      <c r="I407" s="44">
        <f>IFERROR(AVERAGE(Data!I412), "  ")</f>
        <v>-0.44472361809045224</v>
      </c>
      <c r="J407" s="42">
        <f>IFERROR(AVERAGE(Data!J412), "  ")</f>
        <v>-177</v>
      </c>
      <c r="K407" s="44">
        <f>IFERROR(AVERAGE(Data!K412), "  ")</f>
        <v>-0.37747035573122528</v>
      </c>
      <c r="L407" s="45">
        <f>IFERROR(AVERAGE(Data!L412), "  ")</f>
        <v>455</v>
      </c>
    </row>
    <row r="408" spans="1:12" x14ac:dyDescent="0.2">
      <c r="A408" s="43">
        <f>Data!A413</f>
        <v>41482</v>
      </c>
      <c r="B408" s="42">
        <f>IFERROR(AVERAGE(Data!B413), "  ")</f>
        <v>170</v>
      </c>
      <c r="C408" s="42">
        <f>IFERROR(AVERAGE(Data!C413), "  ")</f>
        <v>41</v>
      </c>
      <c r="D408" s="42">
        <f>IFERROR(AVERAGE(Data!D413), "  ")</f>
        <v>72</v>
      </c>
      <c r="E408" s="42">
        <f>IFERROR(AVERAGE(Data!E413), "  ")</f>
        <v>283</v>
      </c>
      <c r="F408" s="42">
        <f>IFERROR(AVERAGE(Data!F413), "  ")</f>
        <v>329</v>
      </c>
      <c r="G408" s="42">
        <f>IFERROR(AVERAGE(Data!G413), "  ")</f>
        <v>46</v>
      </c>
      <c r="H408" s="44">
        <f>IFERROR(AVERAGE(Data!H413), "  ")</f>
        <v>4.4444444444444446E-2</v>
      </c>
      <c r="I408" s="44">
        <f>IFERROR(AVERAGE(Data!I413), "  ")</f>
        <v>0.28054298642533937</v>
      </c>
      <c r="J408" s="42">
        <f>IFERROR(AVERAGE(Data!J413), "  ")</f>
        <v>62</v>
      </c>
      <c r="K408" s="44">
        <f>IFERROR(AVERAGE(Data!K413), "  ")</f>
        <v>-0.27850877192982454</v>
      </c>
      <c r="L408" s="45">
        <f>IFERROR(AVERAGE(Data!L413), "  ")</f>
        <v>402</v>
      </c>
    </row>
    <row r="409" spans="1:12" x14ac:dyDescent="0.2">
      <c r="A409" s="43">
        <f>Data!A414</f>
        <v>41489</v>
      </c>
      <c r="B409" s="42">
        <f>IFERROR(AVERAGE(Data!B414), "  ")</f>
        <v>156</v>
      </c>
      <c r="C409" s="42">
        <f>IFERROR(AVERAGE(Data!C414), "  ")</f>
        <v>43</v>
      </c>
      <c r="D409" s="42">
        <f>IFERROR(AVERAGE(Data!D414), "  ")</f>
        <v>46</v>
      </c>
      <c r="E409" s="42">
        <f>IFERROR(AVERAGE(Data!E414), "  ")</f>
        <v>245</v>
      </c>
      <c r="F409" s="42">
        <f>IFERROR(AVERAGE(Data!F414), "  ")</f>
        <v>376</v>
      </c>
      <c r="G409" s="42">
        <f>IFERROR(AVERAGE(Data!G414), "  ")</f>
        <v>131</v>
      </c>
      <c r="H409" s="44">
        <f>IFERROR(AVERAGE(Data!H414), "  ")</f>
        <v>0.14285714285714285</v>
      </c>
      <c r="I409" s="44">
        <f>IFERROR(AVERAGE(Data!I414), "  ")</f>
        <v>-0.13427561837455831</v>
      </c>
      <c r="J409" s="42">
        <f>IFERROR(AVERAGE(Data!J414), "  ")</f>
        <v>-38</v>
      </c>
      <c r="K409" s="44">
        <f>IFERROR(AVERAGE(Data!K414), "  ")</f>
        <v>-0.1913978494623656</v>
      </c>
      <c r="L409" s="45">
        <f>IFERROR(AVERAGE(Data!L414), "  ")</f>
        <v>464.33333333333331</v>
      </c>
    </row>
    <row r="410" spans="1:12" x14ac:dyDescent="0.2">
      <c r="A410" s="43">
        <f>Data!A415</f>
        <v>41496</v>
      </c>
      <c r="B410" s="42">
        <f>IFERROR(AVERAGE(Data!B415), "  ")</f>
        <v>153</v>
      </c>
      <c r="C410" s="42">
        <f>IFERROR(AVERAGE(Data!C415), "  ")</f>
        <v>41</v>
      </c>
      <c r="D410" s="42">
        <f>IFERROR(AVERAGE(Data!D415), "  ")</f>
        <v>90</v>
      </c>
      <c r="E410" s="42">
        <f>IFERROR(AVERAGE(Data!E415), "  ")</f>
        <v>284</v>
      </c>
      <c r="F410" s="42">
        <f>IFERROR(AVERAGE(Data!F415), "  ")</f>
        <v>376</v>
      </c>
      <c r="G410" s="42">
        <f>IFERROR(AVERAGE(Data!G415), "  ")</f>
        <v>92</v>
      </c>
      <c r="H410" s="44">
        <f>IFERROR(AVERAGE(Data!H415), "  ")</f>
        <v>0</v>
      </c>
      <c r="I410" s="44">
        <f>IFERROR(AVERAGE(Data!I415), "  ")</f>
        <v>0.15918367346938775</v>
      </c>
      <c r="J410" s="42">
        <f>IFERROR(AVERAGE(Data!J415), "  ")</f>
        <v>39</v>
      </c>
      <c r="K410" s="44">
        <f>IFERROR(AVERAGE(Data!K415), "  ")</f>
        <v>-0.32374100719424459</v>
      </c>
      <c r="L410" s="45">
        <f>IFERROR(AVERAGE(Data!L415), "  ")</f>
        <v>531.33333333333337</v>
      </c>
    </row>
    <row r="411" spans="1:12" x14ac:dyDescent="0.2">
      <c r="A411" s="43">
        <f>Data!A416</f>
        <v>41503</v>
      </c>
      <c r="B411" s="42">
        <f>IFERROR(AVERAGE(Data!B416), "  ")</f>
        <v>91</v>
      </c>
      <c r="C411" s="42">
        <f>IFERROR(AVERAGE(Data!C416), "  ")</f>
        <v>10</v>
      </c>
      <c r="D411" s="42">
        <f>IFERROR(AVERAGE(Data!D416), "  ")</f>
        <v>128</v>
      </c>
      <c r="E411" s="42">
        <f>IFERROR(AVERAGE(Data!E416), "  ")</f>
        <v>229</v>
      </c>
      <c r="F411" s="42">
        <f>IFERROR(AVERAGE(Data!F416), "  ")</f>
        <v>380</v>
      </c>
      <c r="G411" s="42">
        <f>IFERROR(AVERAGE(Data!G416), "  ")</f>
        <v>151</v>
      </c>
      <c r="H411" s="44">
        <f>IFERROR(AVERAGE(Data!H416), "  ")</f>
        <v>1.0638297872340425E-2</v>
      </c>
      <c r="I411" s="44">
        <f>IFERROR(AVERAGE(Data!I416), "  ")</f>
        <v>-0.19366197183098591</v>
      </c>
      <c r="J411" s="42">
        <f>IFERROR(AVERAGE(Data!J416), "  ")</f>
        <v>-55</v>
      </c>
      <c r="K411" s="44">
        <f>IFERROR(AVERAGE(Data!K416), "  ")</f>
        <v>-0.24302788844621515</v>
      </c>
      <c r="L411" s="45">
        <f>IFERROR(AVERAGE(Data!L416), "  ")</f>
        <v>487.66666666666669</v>
      </c>
    </row>
    <row r="412" spans="1:12" x14ac:dyDescent="0.2">
      <c r="A412" s="43">
        <f>Data!A417</f>
        <v>41510</v>
      </c>
      <c r="B412" s="42">
        <f>IFERROR(AVERAGE(Data!B417), "  ")</f>
        <v>45</v>
      </c>
      <c r="C412" s="42">
        <f>IFERROR(AVERAGE(Data!C417), "  ")</f>
        <v>46</v>
      </c>
      <c r="D412" s="42">
        <f>IFERROR(AVERAGE(Data!D417), "  ")</f>
        <v>68</v>
      </c>
      <c r="E412" s="42">
        <f>IFERROR(AVERAGE(Data!E417), "  ")</f>
        <v>159</v>
      </c>
      <c r="F412" s="42">
        <f>IFERROR(AVERAGE(Data!F417), "  ")</f>
        <v>377</v>
      </c>
      <c r="G412" s="42">
        <f>IFERROR(AVERAGE(Data!G417), "  ")</f>
        <v>218</v>
      </c>
      <c r="H412" s="44">
        <f>IFERROR(AVERAGE(Data!H417), "  ")</f>
        <v>-7.8947368421052634E-3</v>
      </c>
      <c r="I412" s="44">
        <f>IFERROR(AVERAGE(Data!I417), "  ")</f>
        <v>-0.3056768558951965</v>
      </c>
      <c r="J412" s="42">
        <f>IFERROR(AVERAGE(Data!J417), "  ")</f>
        <v>-70</v>
      </c>
      <c r="K412" s="44">
        <f>IFERROR(AVERAGE(Data!K417), "  ")</f>
        <v>-0.31949458483754511</v>
      </c>
      <c r="L412" s="45">
        <f>IFERROR(AVERAGE(Data!L417), "  ")</f>
        <v>497.66666666666669</v>
      </c>
    </row>
    <row r="413" spans="1:12" x14ac:dyDescent="0.2">
      <c r="A413" s="43">
        <f>Data!A418</f>
        <v>41517</v>
      </c>
      <c r="B413" s="42">
        <f>IFERROR(AVERAGE(Data!B418), "  ")</f>
        <v>42</v>
      </c>
      <c r="C413" s="42">
        <f>IFERROR(AVERAGE(Data!C418), "  ")</f>
        <v>19</v>
      </c>
      <c r="D413" s="42">
        <f>IFERROR(AVERAGE(Data!D418), "  ")</f>
        <v>28</v>
      </c>
      <c r="E413" s="42">
        <f>IFERROR(AVERAGE(Data!E418), "  ")</f>
        <v>89</v>
      </c>
      <c r="F413" s="42">
        <f>IFERROR(AVERAGE(Data!F418), "  ")</f>
        <v>391</v>
      </c>
      <c r="G413" s="42">
        <f>IFERROR(AVERAGE(Data!G418), "  ")</f>
        <v>302</v>
      </c>
      <c r="H413" s="44">
        <f>IFERROR(AVERAGE(Data!H418), "  ")</f>
        <v>3.7135278514588858E-2</v>
      </c>
      <c r="I413" s="44">
        <f>IFERROR(AVERAGE(Data!I418), "  ")</f>
        <v>-0.44025157232704404</v>
      </c>
      <c r="J413" s="42">
        <f>IFERROR(AVERAGE(Data!J418), "  ")</f>
        <v>-70</v>
      </c>
      <c r="K413" s="44">
        <f>IFERROR(AVERAGE(Data!K418), "  ")</f>
        <v>0.71491228070175439</v>
      </c>
      <c r="L413" s="45">
        <f>IFERROR(AVERAGE(Data!L418), "  ")</f>
        <v>368.66666666666669</v>
      </c>
    </row>
    <row r="414" spans="1:12" x14ac:dyDescent="0.2">
      <c r="A414" s="43">
        <f>Data!A419</f>
        <v>41524</v>
      </c>
      <c r="B414" s="42">
        <f>IFERROR(AVERAGE(Data!B419), "  ")</f>
        <v>47</v>
      </c>
      <c r="C414" s="42">
        <f>IFERROR(AVERAGE(Data!C419), "  ")</f>
        <v>83</v>
      </c>
      <c r="D414" s="42">
        <f>IFERROR(AVERAGE(Data!D419), "  ")</f>
        <v>41</v>
      </c>
      <c r="E414" s="42">
        <f>IFERROR(AVERAGE(Data!E419), "  ")</f>
        <v>171</v>
      </c>
      <c r="F414" s="42">
        <f>IFERROR(AVERAGE(Data!F419), "  ")</f>
        <v>462</v>
      </c>
      <c r="G414" s="42">
        <f>IFERROR(AVERAGE(Data!G419), "  ")</f>
        <v>291</v>
      </c>
      <c r="H414" s="44">
        <f>IFERROR(AVERAGE(Data!H419), "  ")</f>
        <v>0.1815856777493606</v>
      </c>
      <c r="I414" s="44">
        <f>IFERROR(AVERAGE(Data!I419), "  ")</f>
        <v>0.9213483146067416</v>
      </c>
      <c r="J414" s="42">
        <f>IFERROR(AVERAGE(Data!J419), "  ")</f>
        <v>82</v>
      </c>
      <c r="K414" s="44">
        <f>IFERROR(AVERAGE(Data!K419), "  ")</f>
        <v>-1.4925373134328358E-2</v>
      </c>
      <c r="L414" s="45">
        <f>IFERROR(AVERAGE(Data!L419), "  ")</f>
        <v>439</v>
      </c>
    </row>
    <row r="415" spans="1:12" x14ac:dyDescent="0.2">
      <c r="A415" s="43">
        <f>Data!A420</f>
        <v>41531</v>
      </c>
      <c r="B415" s="42">
        <f>IFERROR(AVERAGE(Data!B420), "  ")</f>
        <v>56</v>
      </c>
      <c r="C415" s="42">
        <f>IFERROR(AVERAGE(Data!C420), "  ")</f>
        <v>52</v>
      </c>
      <c r="D415" s="42">
        <f>IFERROR(AVERAGE(Data!D420), "  ")</f>
        <v>34</v>
      </c>
      <c r="E415" s="42">
        <f>IFERROR(AVERAGE(Data!E420), "  ")</f>
        <v>142</v>
      </c>
      <c r="F415" s="42">
        <f>IFERROR(AVERAGE(Data!F420), "  ")</f>
        <v>527</v>
      </c>
      <c r="G415" s="42">
        <f>IFERROR(AVERAGE(Data!G420), "  ")</f>
        <v>385</v>
      </c>
      <c r="H415" s="44">
        <f>IFERROR(AVERAGE(Data!H420), "  ")</f>
        <v>0.1406926406926407</v>
      </c>
      <c r="I415" s="44">
        <f>IFERROR(AVERAGE(Data!I420), "  ")</f>
        <v>-0.16959064327485379</v>
      </c>
      <c r="J415" s="42">
        <f>IFERROR(AVERAGE(Data!J420), "  ")</f>
        <v>-29</v>
      </c>
      <c r="K415" s="44">
        <f>IFERROR(AVERAGE(Data!K420), "  ")</f>
        <v>-0.12603648424543948</v>
      </c>
      <c r="L415" s="45">
        <f>IFERROR(AVERAGE(Data!L420), "  ")</f>
        <v>513</v>
      </c>
    </row>
    <row r="416" spans="1:12" x14ac:dyDescent="0.2">
      <c r="A416" s="43">
        <f>Data!A421</f>
        <v>41538</v>
      </c>
      <c r="B416" s="42">
        <f>IFERROR(AVERAGE(Data!B421), "  ")</f>
        <v>53</v>
      </c>
      <c r="C416" s="42">
        <f>IFERROR(AVERAGE(Data!C421), "  ")</f>
        <v>91</v>
      </c>
      <c r="D416" s="42">
        <f>IFERROR(AVERAGE(Data!D421), "  ")</f>
        <v>45</v>
      </c>
      <c r="E416" s="42">
        <f>IFERROR(AVERAGE(Data!E421), "  ")</f>
        <v>189</v>
      </c>
      <c r="F416" s="42">
        <f>IFERROR(AVERAGE(Data!F421), "  ")</f>
        <v>676</v>
      </c>
      <c r="G416" s="42">
        <f>IFERROR(AVERAGE(Data!G421), "  ")</f>
        <v>487</v>
      </c>
      <c r="H416" s="44">
        <f>IFERROR(AVERAGE(Data!H421), "  ")</f>
        <v>0.2827324478178368</v>
      </c>
      <c r="I416" s="44">
        <f>IFERROR(AVERAGE(Data!I421), "  ")</f>
        <v>0.33098591549295775</v>
      </c>
      <c r="J416" s="42">
        <f>IFERROR(AVERAGE(Data!J421), "  ")</f>
        <v>47</v>
      </c>
      <c r="K416" s="44">
        <f>IFERROR(AVERAGE(Data!K421), "  ")</f>
        <v>4.1602465331278891E-2</v>
      </c>
      <c r="L416" s="45">
        <f>IFERROR(AVERAGE(Data!L421), "  ")</f>
        <v>593.33333333333337</v>
      </c>
    </row>
    <row r="417" spans="1:12" x14ac:dyDescent="0.2">
      <c r="A417" s="43">
        <f>Data!A422</f>
        <v>41545</v>
      </c>
      <c r="B417" s="42">
        <f>IFERROR(AVERAGE(Data!B422), "  ")</f>
        <v>22</v>
      </c>
      <c r="C417" s="42">
        <f>IFERROR(AVERAGE(Data!C422), "  ")</f>
        <v>49</v>
      </c>
      <c r="D417" s="42">
        <f>IFERROR(AVERAGE(Data!D422), "  ")</f>
        <v>101</v>
      </c>
      <c r="E417" s="42">
        <f>IFERROR(AVERAGE(Data!E422), "  ")</f>
        <v>172</v>
      </c>
      <c r="F417" s="42">
        <f>IFERROR(AVERAGE(Data!F422), "  ")</f>
        <v>680</v>
      </c>
      <c r="G417" s="42">
        <f>IFERROR(AVERAGE(Data!G422), "  ")</f>
        <v>508</v>
      </c>
      <c r="H417" s="44">
        <f>IFERROR(AVERAGE(Data!H422), "  ")</f>
        <v>5.9171597633136093E-3</v>
      </c>
      <c r="I417" s="44">
        <f>IFERROR(AVERAGE(Data!I422), "  ")</f>
        <v>-8.9947089947089942E-2</v>
      </c>
      <c r="J417" s="42">
        <f>IFERROR(AVERAGE(Data!J422), "  ")</f>
        <v>-17</v>
      </c>
      <c r="K417" s="44">
        <f>IFERROR(AVERAGE(Data!K422), "  ")</f>
        <v>-8.7463556851311956E-3</v>
      </c>
      <c r="L417" s="45">
        <f>IFERROR(AVERAGE(Data!L422), "  ")</f>
        <v>609.33333333333337</v>
      </c>
    </row>
    <row r="418" spans="1:12" x14ac:dyDescent="0.2">
      <c r="A418" s="43">
        <f>Data!A423</f>
        <v>41552</v>
      </c>
      <c r="B418" s="42">
        <f>IFERROR(AVERAGE(Data!B423), "  ")</f>
        <v>42</v>
      </c>
      <c r="C418" s="42">
        <f>IFERROR(AVERAGE(Data!C423), "  ")</f>
        <v>44</v>
      </c>
      <c r="D418" s="42">
        <f>IFERROR(AVERAGE(Data!D423), "  ")</f>
        <v>143</v>
      </c>
      <c r="E418" s="42">
        <f>IFERROR(AVERAGE(Data!E423), "  ")</f>
        <v>229</v>
      </c>
      <c r="F418" s="42">
        <f>IFERROR(AVERAGE(Data!F423), "  ")</f>
        <v>744</v>
      </c>
      <c r="G418" s="42">
        <f>IFERROR(AVERAGE(Data!G423), "  ")</f>
        <v>515</v>
      </c>
      <c r="H418" s="44">
        <f>IFERROR(AVERAGE(Data!H423), "  ")</f>
        <v>9.4117647058823528E-2</v>
      </c>
      <c r="I418" s="44">
        <f>IFERROR(AVERAGE(Data!I423), "  ")</f>
        <v>0.33139534883720928</v>
      </c>
      <c r="J418" s="42">
        <f>IFERROR(AVERAGE(Data!J423), "  ")</f>
        <v>57</v>
      </c>
      <c r="K418" s="44">
        <f>IFERROR(AVERAGE(Data!K423), "  ")</f>
        <v>0.24414715719063546</v>
      </c>
      <c r="L418" s="45">
        <f>IFERROR(AVERAGE(Data!L423), "  ")</f>
        <v>578</v>
      </c>
    </row>
    <row r="419" spans="1:12" x14ac:dyDescent="0.2">
      <c r="A419" s="43">
        <f>Data!A424</f>
        <v>41559</v>
      </c>
      <c r="B419" s="42">
        <f>IFERROR(AVERAGE(Data!B424), "  ")</f>
        <v>142</v>
      </c>
      <c r="C419" s="42">
        <f>IFERROR(AVERAGE(Data!C424), "  ")</f>
        <v>32</v>
      </c>
      <c r="D419" s="42">
        <f>IFERROR(AVERAGE(Data!D424), "  ")</f>
        <v>105</v>
      </c>
      <c r="E419" s="42">
        <f>IFERROR(AVERAGE(Data!E424), "  ")</f>
        <v>279</v>
      </c>
      <c r="F419" s="42">
        <f>IFERROR(AVERAGE(Data!F424), "  ")</f>
        <v>827</v>
      </c>
      <c r="G419" s="42">
        <f>IFERROR(AVERAGE(Data!G424), "  ")</f>
        <v>548</v>
      </c>
      <c r="H419" s="44">
        <f>IFERROR(AVERAGE(Data!H424), "  ")</f>
        <v>0.11155913978494623</v>
      </c>
      <c r="I419" s="44">
        <f>IFERROR(AVERAGE(Data!I424), "  ")</f>
        <v>0.2183406113537118</v>
      </c>
      <c r="J419" s="42">
        <f>IFERROR(AVERAGE(Data!J424), "  ")</f>
        <v>50</v>
      </c>
      <c r="K419" s="44">
        <f>IFERROR(AVERAGE(Data!K424), "  ")</f>
        <v>0.15826330532212884</v>
      </c>
      <c r="L419" s="45">
        <f>IFERROR(AVERAGE(Data!L424), "  ")</f>
        <v>647.33333333333337</v>
      </c>
    </row>
    <row r="420" spans="1:12" x14ac:dyDescent="0.2">
      <c r="A420" s="43">
        <f>Data!A425</f>
        <v>41566</v>
      </c>
      <c r="B420" s="42">
        <f>IFERROR(AVERAGE(Data!B425), "  ")</f>
        <v>216</v>
      </c>
      <c r="C420" s="42">
        <f>IFERROR(AVERAGE(Data!C425), "  ")</f>
        <v>64</v>
      </c>
      <c r="D420" s="42">
        <f>IFERROR(AVERAGE(Data!D425), "  ")</f>
        <v>228</v>
      </c>
      <c r="E420" s="42">
        <f>IFERROR(AVERAGE(Data!E425), "  ")</f>
        <v>508</v>
      </c>
      <c r="F420" s="42">
        <f>IFERROR(AVERAGE(Data!F425), "  ")</f>
        <v>780</v>
      </c>
      <c r="G420" s="42">
        <f>IFERROR(AVERAGE(Data!G425), "  ")</f>
        <v>272</v>
      </c>
      <c r="H420" s="44">
        <f>IFERROR(AVERAGE(Data!H425), "  ")</f>
        <v>-5.6831922611850064E-2</v>
      </c>
      <c r="I420" s="44">
        <f>IFERROR(AVERAGE(Data!I425), "  ")</f>
        <v>0.82078853046594979</v>
      </c>
      <c r="J420" s="42">
        <f>IFERROR(AVERAGE(Data!J425), "  ")</f>
        <v>229</v>
      </c>
      <c r="K420" s="44">
        <f>IFERROR(AVERAGE(Data!K425), "  ")</f>
        <v>-4.1769041769041768E-2</v>
      </c>
      <c r="L420" s="45">
        <f>IFERROR(AVERAGE(Data!L425), "  ")</f>
        <v>696</v>
      </c>
    </row>
    <row r="421" spans="1:12" x14ac:dyDescent="0.2">
      <c r="A421" s="43">
        <f>Data!A426</f>
        <v>41573</v>
      </c>
      <c r="B421" s="42">
        <f>IFERROR(AVERAGE(Data!B426), "  ")</f>
        <v>344</v>
      </c>
      <c r="C421" s="42">
        <f>IFERROR(AVERAGE(Data!C426), "  ")</f>
        <v>44</v>
      </c>
      <c r="D421" s="42">
        <f>IFERROR(AVERAGE(Data!D426), "  ")</f>
        <v>145</v>
      </c>
      <c r="E421" s="42">
        <f>IFERROR(AVERAGE(Data!E426), "  ")</f>
        <v>533</v>
      </c>
      <c r="F421" s="42">
        <f>IFERROR(AVERAGE(Data!F426), "  ")</f>
        <v>813</v>
      </c>
      <c r="G421" s="42">
        <f>IFERROR(AVERAGE(Data!G426), "  ")</f>
        <v>280</v>
      </c>
      <c r="H421" s="44">
        <f>IFERROR(AVERAGE(Data!H426), "  ")</f>
        <v>4.230769230769231E-2</v>
      </c>
      <c r="I421" s="44">
        <f>IFERROR(AVERAGE(Data!I426), "  ")</f>
        <v>4.9212598425196853E-2</v>
      </c>
      <c r="J421" s="42">
        <f>IFERROR(AVERAGE(Data!J426), "  ")</f>
        <v>25</v>
      </c>
      <c r="K421" s="44">
        <f>IFERROR(AVERAGE(Data!K426), "  ")</f>
        <v>-3.5587188612099648E-2</v>
      </c>
      <c r="L421" s="45">
        <f>IFERROR(AVERAGE(Data!L426), "  ")</f>
        <v>748.33333333333337</v>
      </c>
    </row>
    <row r="422" spans="1:12" x14ac:dyDescent="0.2">
      <c r="A422" s="43">
        <f>Data!A427</f>
        <v>41580</v>
      </c>
      <c r="B422" s="42">
        <f>IFERROR(AVERAGE(Data!B427), "  ")</f>
        <v>354</v>
      </c>
      <c r="C422" s="42">
        <f>IFERROR(AVERAGE(Data!C427), "  ")</f>
        <v>61</v>
      </c>
      <c r="D422" s="42">
        <f>IFERROR(AVERAGE(Data!D427), "  ")</f>
        <v>134</v>
      </c>
      <c r="E422" s="42">
        <f>IFERROR(AVERAGE(Data!E427), "  ")</f>
        <v>549</v>
      </c>
      <c r="F422" s="42">
        <f>IFERROR(AVERAGE(Data!F427), "  ")</f>
        <v>921</v>
      </c>
      <c r="G422" s="42">
        <f>IFERROR(AVERAGE(Data!G427), "  ")</f>
        <v>372</v>
      </c>
      <c r="H422" s="44">
        <f>IFERROR(AVERAGE(Data!H427), "  ")</f>
        <v>0.13284132841328414</v>
      </c>
      <c r="I422" s="44">
        <f>IFERROR(AVERAGE(Data!I427), "  ")</f>
        <v>3.0018761726078799E-2</v>
      </c>
      <c r="J422" s="42">
        <f>IFERROR(AVERAGE(Data!J427), "  ")</f>
        <v>16</v>
      </c>
      <c r="K422" s="44">
        <f>IFERROR(AVERAGE(Data!K427), "  ")</f>
        <v>8.6084905660377353E-2</v>
      </c>
      <c r="L422" s="45">
        <f>IFERROR(AVERAGE(Data!L427), "  ")</f>
        <v>739</v>
      </c>
    </row>
    <row r="423" spans="1:12" x14ac:dyDescent="0.2">
      <c r="A423" s="43">
        <f>Data!A428</f>
        <v>41587</v>
      </c>
      <c r="B423" s="42">
        <f>IFERROR(AVERAGE(Data!B428), "  ")</f>
        <v>287</v>
      </c>
      <c r="C423" s="42">
        <f>IFERROR(AVERAGE(Data!C428), "  ")</f>
        <v>21</v>
      </c>
      <c r="D423" s="42">
        <f>IFERROR(AVERAGE(Data!D428), "  ")</f>
        <v>195</v>
      </c>
      <c r="E423" s="42">
        <f>IFERROR(AVERAGE(Data!E428), "  ")</f>
        <v>503</v>
      </c>
      <c r="F423" s="42">
        <f>IFERROR(AVERAGE(Data!F428), "  ")</f>
        <v>934</v>
      </c>
      <c r="G423" s="42">
        <f>IFERROR(AVERAGE(Data!G428), "  ")</f>
        <v>431</v>
      </c>
      <c r="H423" s="44">
        <f>IFERROR(AVERAGE(Data!H428), "  ")</f>
        <v>1.4115092290988056E-2</v>
      </c>
      <c r="I423" s="44">
        <f>IFERROR(AVERAGE(Data!I428), "  ")</f>
        <v>-8.3788706739526417E-2</v>
      </c>
      <c r="J423" s="42">
        <f>IFERROR(AVERAGE(Data!J428), "  ")</f>
        <v>-46</v>
      </c>
      <c r="K423" s="44">
        <f>IFERROR(AVERAGE(Data!K428), "  ")</f>
        <v>0.12394705174488568</v>
      </c>
      <c r="L423" s="45">
        <f>IFERROR(AVERAGE(Data!L428), "  ")</f>
        <v>783.33333333333337</v>
      </c>
    </row>
    <row r="424" spans="1:12" x14ac:dyDescent="0.2">
      <c r="A424" s="43">
        <f>Data!A429</f>
        <v>41594</v>
      </c>
      <c r="B424" s="42">
        <f>IFERROR(AVERAGE(Data!B429), "  ")</f>
        <v>267</v>
      </c>
      <c r="C424" s="42">
        <f>IFERROR(AVERAGE(Data!C429), "  ")</f>
        <v>59</v>
      </c>
      <c r="D424" s="42">
        <f>IFERROR(AVERAGE(Data!D429), "  ")</f>
        <v>223</v>
      </c>
      <c r="E424" s="42">
        <f>IFERROR(AVERAGE(Data!E429), "  ")</f>
        <v>549</v>
      </c>
      <c r="F424" s="42">
        <f>IFERROR(AVERAGE(Data!F429), "  ")</f>
        <v>947</v>
      </c>
      <c r="G424" s="42">
        <f>IFERROR(AVERAGE(Data!G429), "  ")</f>
        <v>398</v>
      </c>
      <c r="H424" s="44">
        <f>IFERROR(AVERAGE(Data!H429), "  ")</f>
        <v>1.3918629550321198E-2</v>
      </c>
      <c r="I424" s="44">
        <f>IFERROR(AVERAGE(Data!I429), "  ")</f>
        <v>9.1451292246520877E-2</v>
      </c>
      <c r="J424" s="42">
        <f>IFERROR(AVERAGE(Data!J429), "  ")</f>
        <v>46</v>
      </c>
      <c r="K424" s="44">
        <f>IFERROR(AVERAGE(Data!K429), "  ")</f>
        <v>4.6408839779005527E-2</v>
      </c>
      <c r="L424" s="45">
        <f>IFERROR(AVERAGE(Data!L429), "  ")</f>
        <v>839.66666666666663</v>
      </c>
    </row>
    <row r="425" spans="1:12" x14ac:dyDescent="0.2">
      <c r="A425" s="43">
        <f>Data!A430</f>
        <v>41601</v>
      </c>
      <c r="B425" s="42">
        <f>IFERROR(AVERAGE(Data!B430), "  ")</f>
        <v>301</v>
      </c>
      <c r="C425" s="42">
        <f>IFERROR(AVERAGE(Data!C430), "  ")</f>
        <v>43</v>
      </c>
      <c r="D425" s="42">
        <f>IFERROR(AVERAGE(Data!D430), "  ")</f>
        <v>259</v>
      </c>
      <c r="E425" s="42">
        <f>IFERROR(AVERAGE(Data!E430), "  ")</f>
        <v>603</v>
      </c>
      <c r="F425" s="42">
        <f>IFERROR(AVERAGE(Data!F430), "  ")</f>
        <v>907</v>
      </c>
      <c r="G425" s="42">
        <f>IFERROR(AVERAGE(Data!G430), "  ")</f>
        <v>304</v>
      </c>
      <c r="H425" s="44">
        <f>IFERROR(AVERAGE(Data!H430), "  ")</f>
        <v>-4.2238648363252376E-2</v>
      </c>
      <c r="I425" s="44">
        <f>IFERROR(AVERAGE(Data!I430), "  ")</f>
        <v>9.8360655737704916E-2</v>
      </c>
      <c r="J425" s="42">
        <f>IFERROR(AVERAGE(Data!J430), "  ")</f>
        <v>54</v>
      </c>
      <c r="K425" s="44">
        <f>IFERROR(AVERAGE(Data!K430), "  ")</f>
        <v>0.38473282442748091</v>
      </c>
      <c r="L425" s="45">
        <f>IFERROR(AVERAGE(Data!L430), "  ")</f>
        <v>661.33333333333337</v>
      </c>
    </row>
    <row r="426" spans="1:12" x14ac:dyDescent="0.2">
      <c r="A426" s="43">
        <f>Data!A431</f>
        <v>41608</v>
      </c>
      <c r="B426" s="42">
        <f>IFERROR(AVERAGE(Data!B431), "  ")</f>
        <v>335</v>
      </c>
      <c r="C426" s="42">
        <f>IFERROR(AVERAGE(Data!C431), "  ")</f>
        <v>50</v>
      </c>
      <c r="D426" s="42">
        <f>IFERROR(AVERAGE(Data!D431), "  ")</f>
        <v>178</v>
      </c>
      <c r="E426" s="42">
        <f>IFERROR(AVERAGE(Data!E431), "  ")</f>
        <v>563</v>
      </c>
      <c r="F426" s="42">
        <f>IFERROR(AVERAGE(Data!F431), "  ")</f>
        <v>839</v>
      </c>
      <c r="G426" s="42">
        <f>IFERROR(AVERAGE(Data!G431), "  ")</f>
        <v>276</v>
      </c>
      <c r="H426" s="44">
        <f>IFERROR(AVERAGE(Data!H431), "  ")</f>
        <v>-7.4972436604189632E-2</v>
      </c>
      <c r="I426" s="44">
        <f>IFERROR(AVERAGE(Data!I431), "  ")</f>
        <v>-6.633499170812604E-2</v>
      </c>
      <c r="J426" s="42">
        <f>IFERROR(AVERAGE(Data!J431), "  ")</f>
        <v>-40</v>
      </c>
      <c r="K426" s="44">
        <f>IFERROR(AVERAGE(Data!K431), "  ")</f>
        <v>0.32125984251968503</v>
      </c>
      <c r="L426" s="45">
        <f>IFERROR(AVERAGE(Data!L431), "  ")</f>
        <v>715.66666666666663</v>
      </c>
    </row>
    <row r="427" spans="1:12" x14ac:dyDescent="0.2">
      <c r="A427" s="43">
        <f>Data!A432</f>
        <v>41615</v>
      </c>
      <c r="B427" s="42">
        <f>IFERROR(AVERAGE(Data!B432), "  ")</f>
        <v>348</v>
      </c>
      <c r="C427" s="42">
        <f>IFERROR(AVERAGE(Data!C432), "  ")</f>
        <v>27</v>
      </c>
      <c r="D427" s="42">
        <f>IFERROR(AVERAGE(Data!D432), "  ")</f>
        <v>113</v>
      </c>
      <c r="E427" s="42">
        <f>IFERROR(AVERAGE(Data!E432), "  ")</f>
        <v>488</v>
      </c>
      <c r="F427" s="42">
        <f>IFERROR(AVERAGE(Data!F432), "  ")</f>
        <v>916</v>
      </c>
      <c r="G427" s="42">
        <f>IFERROR(AVERAGE(Data!G432), "  ")</f>
        <v>428</v>
      </c>
      <c r="H427" s="44">
        <f>IFERROR(AVERAGE(Data!H432), "  ")</f>
        <v>9.1775923718712751E-2</v>
      </c>
      <c r="I427" s="44">
        <f>IFERROR(AVERAGE(Data!I432), "  ")</f>
        <v>-0.13321492007104796</v>
      </c>
      <c r="J427" s="42">
        <f>IFERROR(AVERAGE(Data!J432), "  ")</f>
        <v>-75</v>
      </c>
      <c r="K427" s="44">
        <f>IFERROR(AVERAGE(Data!K432), "  ")</f>
        <v>0.44936708860759494</v>
      </c>
      <c r="L427" s="45">
        <f>IFERROR(AVERAGE(Data!L432), "  ")</f>
        <v>716.66666666666663</v>
      </c>
    </row>
    <row r="428" spans="1:12" x14ac:dyDescent="0.2">
      <c r="A428" s="43">
        <f>Data!A433</f>
        <v>41622</v>
      </c>
      <c r="B428" s="42">
        <f>IFERROR(AVERAGE(Data!B433), "  ")</f>
        <v>331</v>
      </c>
      <c r="C428" s="42">
        <f>IFERROR(AVERAGE(Data!C433), "  ")</f>
        <v>39</v>
      </c>
      <c r="D428" s="42">
        <f>IFERROR(AVERAGE(Data!D433), "  ")</f>
        <v>163</v>
      </c>
      <c r="E428" s="42">
        <f>IFERROR(AVERAGE(Data!E433), "  ")</f>
        <v>533</v>
      </c>
      <c r="F428" s="42">
        <f>IFERROR(AVERAGE(Data!F433), "  ")</f>
        <v>798</v>
      </c>
      <c r="G428" s="42">
        <f>IFERROR(AVERAGE(Data!G433), "  ")</f>
        <v>265</v>
      </c>
      <c r="H428" s="44">
        <f>IFERROR(AVERAGE(Data!H433), "  ")</f>
        <v>-0.12882096069868995</v>
      </c>
      <c r="I428" s="44">
        <f>IFERROR(AVERAGE(Data!I433), "  ")</f>
        <v>9.2213114754098366E-2</v>
      </c>
      <c r="J428" s="42">
        <f>IFERROR(AVERAGE(Data!J433), "  ")</f>
        <v>45</v>
      </c>
      <c r="K428" s="44">
        <f>IFERROR(AVERAGE(Data!K433), "  ")</f>
        <v>0.25867507886435331</v>
      </c>
      <c r="L428" s="45">
        <f>IFERROR(AVERAGE(Data!L433), "  ")</f>
        <v>674.33333333333337</v>
      </c>
    </row>
    <row r="429" spans="1:12" x14ac:dyDescent="0.2">
      <c r="A429" s="43">
        <f>Data!A434</f>
        <v>41629</v>
      </c>
      <c r="B429" s="42">
        <f>IFERROR(AVERAGE(Data!B434), "  ")</f>
        <v>269</v>
      </c>
      <c r="C429" s="42">
        <f>IFERROR(AVERAGE(Data!C434), "  ")</f>
        <v>40</v>
      </c>
      <c r="D429" s="42">
        <f>IFERROR(AVERAGE(Data!D434), "  ")</f>
        <v>148</v>
      </c>
      <c r="E429" s="42">
        <f>IFERROR(AVERAGE(Data!E434), "  ")</f>
        <v>457</v>
      </c>
      <c r="F429" s="42">
        <f>IFERROR(AVERAGE(Data!F434), "  ")</f>
        <v>871</v>
      </c>
      <c r="G429" s="42">
        <f>IFERROR(AVERAGE(Data!G434), "  ")</f>
        <v>414</v>
      </c>
      <c r="H429" s="44">
        <f>IFERROR(AVERAGE(Data!H434), "  ")</f>
        <v>9.1478696741854632E-2</v>
      </c>
      <c r="I429" s="44">
        <f>IFERROR(AVERAGE(Data!I434), "  ")</f>
        <v>-0.14258911819887429</v>
      </c>
      <c r="J429" s="42">
        <f>IFERROR(AVERAGE(Data!J434), "  ")</f>
        <v>-76</v>
      </c>
      <c r="K429" s="44">
        <f>IFERROR(AVERAGE(Data!K434), "  ")</f>
        <v>0.25143678160919541</v>
      </c>
      <c r="L429" s="45">
        <f>IFERROR(AVERAGE(Data!L434), "  ")</f>
        <v>650</v>
      </c>
    </row>
    <row r="430" spans="1:12" x14ac:dyDescent="0.2">
      <c r="A430" s="43">
        <f>Data!A435</f>
        <v>41636</v>
      </c>
      <c r="B430" s="42">
        <f>IFERROR(AVERAGE(Data!B435), "  ")</f>
        <v>202</v>
      </c>
      <c r="C430" s="42">
        <f>IFERROR(AVERAGE(Data!C435), "  ")</f>
        <v>40</v>
      </c>
      <c r="D430" s="42">
        <f>IFERROR(AVERAGE(Data!D435), "  ")</f>
        <v>175</v>
      </c>
      <c r="E430" s="42">
        <f>IFERROR(AVERAGE(Data!E435), "  ")</f>
        <v>417</v>
      </c>
      <c r="F430" s="42">
        <f>IFERROR(AVERAGE(Data!F435), "  ")</f>
        <v>671</v>
      </c>
      <c r="G430" s="42">
        <f>IFERROR(AVERAGE(Data!G435), "  ")</f>
        <v>254</v>
      </c>
      <c r="H430" s="44">
        <f>IFERROR(AVERAGE(Data!H435), "  ")</f>
        <v>-0.22962112514351321</v>
      </c>
      <c r="I430" s="44">
        <f>IFERROR(AVERAGE(Data!I435), "  ")</f>
        <v>-8.7527352297592995E-2</v>
      </c>
      <c r="J430" s="42">
        <f>IFERROR(AVERAGE(Data!J435), "  ")</f>
        <v>-40</v>
      </c>
      <c r="K430" s="44">
        <f>IFERROR(AVERAGE(Data!K435), "  ")</f>
        <v>0.11833333333333333</v>
      </c>
      <c r="L430" s="45">
        <f>IFERROR(AVERAGE(Data!L435), "  ")</f>
        <v>527.33333333333337</v>
      </c>
    </row>
    <row r="431" spans="1:12" x14ac:dyDescent="0.2">
      <c r="A431" s="43">
        <f>Data!A436</f>
        <v>41643</v>
      </c>
      <c r="B431" s="42">
        <f>IFERROR(AVERAGE(Data!B436), "  ")</f>
        <v>182</v>
      </c>
      <c r="C431" s="42">
        <f>IFERROR(AVERAGE(Data!C436), "  ")</f>
        <v>31</v>
      </c>
      <c r="D431" s="42">
        <f>IFERROR(AVERAGE(Data!D436), "  ")</f>
        <v>145</v>
      </c>
      <c r="E431" s="42">
        <f>IFERROR(AVERAGE(Data!E436), "  ")</f>
        <v>358</v>
      </c>
      <c r="F431" s="42">
        <f>IFERROR(AVERAGE(Data!F436), "  ")</f>
        <v>814</v>
      </c>
      <c r="G431" s="42">
        <f>IFERROR(AVERAGE(Data!G436), "  ")</f>
        <v>456</v>
      </c>
      <c r="H431" s="44">
        <f>IFERROR(AVERAGE(Data!H436), "  ")</f>
        <v>0.21311475409836064</v>
      </c>
      <c r="I431" s="44">
        <f>IFERROR(AVERAGE(Data!I436), "  ")</f>
        <v>-0.14148681055155876</v>
      </c>
      <c r="J431" s="42">
        <f>IFERROR(AVERAGE(Data!J436), "  ")</f>
        <v>-59</v>
      </c>
      <c r="K431" s="44">
        <f>IFERROR(AVERAGE(Data!K436), "  ")</f>
        <v>0.90632318501170961</v>
      </c>
      <c r="L431" s="45">
        <f>IFERROR(AVERAGE(Data!L436), "  ")</f>
        <v>587.33333333333337</v>
      </c>
    </row>
    <row r="432" spans="1:12" x14ac:dyDescent="0.2">
      <c r="A432" s="43">
        <f>Data!A437</f>
        <v>41650</v>
      </c>
      <c r="B432" s="42">
        <f>IFERROR(AVERAGE(Data!B437), "  ")</f>
        <v>79</v>
      </c>
      <c r="C432" s="42">
        <f>IFERROR(AVERAGE(Data!C437), "  ")</f>
        <v>19</v>
      </c>
      <c r="D432" s="42">
        <f>IFERROR(AVERAGE(Data!D437), "  ")</f>
        <v>176</v>
      </c>
      <c r="E432" s="42">
        <f>IFERROR(AVERAGE(Data!E437), "  ")</f>
        <v>274</v>
      </c>
      <c r="F432" s="42">
        <f>IFERROR(AVERAGE(Data!F437), "  ")</f>
        <v>749</v>
      </c>
      <c r="G432" s="42">
        <f>IFERROR(AVERAGE(Data!G437), "  ")</f>
        <v>475</v>
      </c>
      <c r="H432" s="44">
        <f>IFERROR(AVERAGE(Data!H437), "  ")</f>
        <v>-7.9852579852579847E-2</v>
      </c>
      <c r="I432" s="44">
        <f>IFERROR(AVERAGE(Data!I437), "  ")</f>
        <v>-0.23463687150837989</v>
      </c>
      <c r="J432" s="42">
        <f>IFERROR(AVERAGE(Data!J437), "  ")</f>
        <v>-84</v>
      </c>
      <c r="K432" s="44">
        <f>IFERROR(AVERAGE(Data!K437), "  ")</f>
        <v>0.47151277013752457</v>
      </c>
      <c r="L432" s="45">
        <f>IFERROR(AVERAGE(Data!L437), "  ")</f>
        <v>640</v>
      </c>
    </row>
    <row r="433" spans="1:12" x14ac:dyDescent="0.2">
      <c r="A433" s="43">
        <f>Data!A438</f>
        <v>41657</v>
      </c>
      <c r="B433" s="42">
        <f>IFERROR(AVERAGE(Data!B438), "  ")</f>
        <v>81</v>
      </c>
      <c r="C433" s="42">
        <f>IFERROR(AVERAGE(Data!C438), "  ")</f>
        <v>45</v>
      </c>
      <c r="D433" s="42">
        <f>IFERROR(AVERAGE(Data!D438), "  ")</f>
        <v>177</v>
      </c>
      <c r="E433" s="42">
        <f>IFERROR(AVERAGE(Data!E438), "  ")</f>
        <v>303</v>
      </c>
      <c r="F433" s="42">
        <f>IFERROR(AVERAGE(Data!F438), "  ")</f>
        <v>888</v>
      </c>
      <c r="G433" s="42">
        <f>IFERROR(AVERAGE(Data!G438), "  ")</f>
        <v>585</v>
      </c>
      <c r="H433" s="44">
        <f>IFERROR(AVERAGE(Data!H438), "  ")</f>
        <v>0.1855807743658211</v>
      </c>
      <c r="I433" s="44">
        <f>IFERROR(AVERAGE(Data!I438), "  ")</f>
        <v>0.10583941605839416</v>
      </c>
      <c r="J433" s="42">
        <f>IFERROR(AVERAGE(Data!J438), "  ")</f>
        <v>29</v>
      </c>
      <c r="K433" s="44">
        <f>IFERROR(AVERAGE(Data!K438), "  ")</f>
        <v>0.55244755244755239</v>
      </c>
      <c r="L433" s="45">
        <f>IFERROR(AVERAGE(Data!L438), "  ")</f>
        <v>651.33333333333337</v>
      </c>
    </row>
    <row r="434" spans="1:12" x14ac:dyDescent="0.2">
      <c r="A434" s="43">
        <f>Data!A439</f>
        <v>41664</v>
      </c>
      <c r="B434" s="42">
        <f>IFERROR(AVERAGE(Data!B439), "  ")</f>
        <v>182</v>
      </c>
      <c r="C434" s="42">
        <f>IFERROR(AVERAGE(Data!C439), "  ")</f>
        <v>37</v>
      </c>
      <c r="D434" s="42">
        <f>IFERROR(AVERAGE(Data!D439), "  ")</f>
        <v>261</v>
      </c>
      <c r="E434" s="42">
        <f>IFERROR(AVERAGE(Data!E439), "  ")</f>
        <v>480</v>
      </c>
      <c r="F434" s="42">
        <f>IFERROR(AVERAGE(Data!F439), "  ")</f>
        <v>771</v>
      </c>
      <c r="G434" s="42">
        <f>IFERROR(AVERAGE(Data!G439), "  ")</f>
        <v>291</v>
      </c>
      <c r="H434" s="44">
        <f>IFERROR(AVERAGE(Data!H439), "  ")</f>
        <v>-0.13175675675675674</v>
      </c>
      <c r="I434" s="44">
        <f>IFERROR(AVERAGE(Data!I439), "  ")</f>
        <v>0.58415841584158412</v>
      </c>
      <c r="J434" s="42">
        <f>IFERROR(AVERAGE(Data!J439), "  ")</f>
        <v>177</v>
      </c>
      <c r="K434" s="44">
        <f>IFERROR(AVERAGE(Data!K439), "  ")</f>
        <v>0.19906687402799378</v>
      </c>
      <c r="L434" s="45">
        <f>IFERROR(AVERAGE(Data!L439), "  ")</f>
        <v>712.33333333333337</v>
      </c>
    </row>
    <row r="435" spans="1:12" x14ac:dyDescent="0.2">
      <c r="A435" s="43">
        <f>Data!A440</f>
        <v>41671</v>
      </c>
      <c r="B435" s="42">
        <f>IFERROR(AVERAGE(Data!B440), "  ")</f>
        <v>163</v>
      </c>
      <c r="C435" s="42">
        <f>IFERROR(AVERAGE(Data!C440), "  ")</f>
        <v>22</v>
      </c>
      <c r="D435" s="42">
        <f>IFERROR(AVERAGE(Data!D440), "  ")</f>
        <v>193</v>
      </c>
      <c r="E435" s="42">
        <f>IFERROR(AVERAGE(Data!E440), "  ")</f>
        <v>378</v>
      </c>
      <c r="F435" s="42">
        <f>IFERROR(AVERAGE(Data!F440), "  ")</f>
        <v>682</v>
      </c>
      <c r="G435" s="42">
        <f>IFERROR(AVERAGE(Data!G440), "  ")</f>
        <v>304</v>
      </c>
      <c r="H435" s="44">
        <f>IFERROR(AVERAGE(Data!H440), "  ")</f>
        <v>-0.11543450064850844</v>
      </c>
      <c r="I435" s="44">
        <f>IFERROR(AVERAGE(Data!I440), "  ")</f>
        <v>-0.21249999999999999</v>
      </c>
      <c r="J435" s="42">
        <f>IFERROR(AVERAGE(Data!J440), "  ")</f>
        <v>-102</v>
      </c>
      <c r="K435" s="44">
        <f>IFERROR(AVERAGE(Data!K440), "  ")</f>
        <v>0.32943469785575047</v>
      </c>
      <c r="L435" s="45">
        <f>IFERROR(AVERAGE(Data!L440), "  ")</f>
        <v>602.33333333333337</v>
      </c>
    </row>
    <row r="436" spans="1:12" x14ac:dyDescent="0.2">
      <c r="A436" s="43">
        <f>Data!A441</f>
        <v>41678</v>
      </c>
      <c r="B436" s="42">
        <f>IFERROR(AVERAGE(Data!B441), "  ")</f>
        <v>60</v>
      </c>
      <c r="C436" s="42">
        <f>IFERROR(AVERAGE(Data!C441), "  ")</f>
        <v>58</v>
      </c>
      <c r="D436" s="42">
        <f>IFERROR(AVERAGE(Data!D441), "  ")</f>
        <v>290</v>
      </c>
      <c r="E436" s="42">
        <f>IFERROR(AVERAGE(Data!E441), "  ")</f>
        <v>408</v>
      </c>
      <c r="F436" s="42">
        <f>IFERROR(AVERAGE(Data!F441), "  ")</f>
        <v>774</v>
      </c>
      <c r="G436" s="42">
        <f>IFERROR(AVERAGE(Data!G441), "  ")</f>
        <v>366</v>
      </c>
      <c r="H436" s="44">
        <f>IFERROR(AVERAGE(Data!H441), "  ")</f>
        <v>0.13489736070381231</v>
      </c>
      <c r="I436" s="44">
        <f>IFERROR(AVERAGE(Data!I441), "  ")</f>
        <v>7.9365079365079361E-2</v>
      </c>
      <c r="J436" s="42">
        <f>IFERROR(AVERAGE(Data!J441), "  ")</f>
        <v>30</v>
      </c>
      <c r="K436" s="44">
        <f>IFERROR(AVERAGE(Data!K441), "  ")</f>
        <v>0.4576271186440678</v>
      </c>
      <c r="L436" s="45">
        <f>IFERROR(AVERAGE(Data!L441), "  ")</f>
        <v>646</v>
      </c>
    </row>
    <row r="437" spans="1:12" x14ac:dyDescent="0.2">
      <c r="A437" s="43">
        <f>Data!A442</f>
        <v>41685</v>
      </c>
      <c r="B437" s="42">
        <f>IFERROR(AVERAGE(Data!B442), "  ")</f>
        <v>83</v>
      </c>
      <c r="C437" s="42">
        <f>IFERROR(AVERAGE(Data!C442), "  ")</f>
        <v>42</v>
      </c>
      <c r="D437" s="42">
        <f>IFERROR(AVERAGE(Data!D442), "  ")</f>
        <v>217</v>
      </c>
      <c r="E437" s="42">
        <f>IFERROR(AVERAGE(Data!E442), "  ")</f>
        <v>342</v>
      </c>
      <c r="F437" s="42">
        <f>IFERROR(AVERAGE(Data!F442), "  ")</f>
        <v>739</v>
      </c>
      <c r="G437" s="42">
        <f>IFERROR(AVERAGE(Data!G442), "  ")</f>
        <v>397</v>
      </c>
      <c r="H437" s="44">
        <f>IFERROR(AVERAGE(Data!H442), "  ")</f>
        <v>-4.5219638242894059E-2</v>
      </c>
      <c r="I437" s="44">
        <f>IFERROR(AVERAGE(Data!I442), "  ")</f>
        <v>-0.16176470588235295</v>
      </c>
      <c r="J437" s="42">
        <f>IFERROR(AVERAGE(Data!J442), "  ")</f>
        <v>-66</v>
      </c>
      <c r="K437" s="44">
        <f>IFERROR(AVERAGE(Data!K442), "  ")</f>
        <v>0.48393574297188757</v>
      </c>
      <c r="L437" s="45">
        <f>IFERROR(AVERAGE(Data!L442), "  ")</f>
        <v>608</v>
      </c>
    </row>
    <row r="438" spans="1:12" x14ac:dyDescent="0.2">
      <c r="A438" s="43">
        <f>Data!A443</f>
        <v>41692</v>
      </c>
      <c r="B438" s="42">
        <f>IFERROR(AVERAGE(Data!B443), "  ")</f>
        <v>77</v>
      </c>
      <c r="C438" s="42">
        <f>IFERROR(AVERAGE(Data!C443), "  ")</f>
        <v>32</v>
      </c>
      <c r="D438" s="42">
        <f>IFERROR(AVERAGE(Data!D443), "  ")</f>
        <v>173</v>
      </c>
      <c r="E438" s="42">
        <f>IFERROR(AVERAGE(Data!E443), "  ")</f>
        <v>282</v>
      </c>
      <c r="F438" s="42">
        <f>IFERROR(AVERAGE(Data!F443), "  ")</f>
        <v>819</v>
      </c>
      <c r="G438" s="42">
        <f>IFERROR(AVERAGE(Data!G443), "  ")</f>
        <v>537</v>
      </c>
      <c r="H438" s="44">
        <f>IFERROR(AVERAGE(Data!H443), "  ")</f>
        <v>0.10825439783491204</v>
      </c>
      <c r="I438" s="44">
        <f>IFERROR(AVERAGE(Data!I443), "  ")</f>
        <v>-0.17543859649122806</v>
      </c>
      <c r="J438" s="42">
        <f>IFERROR(AVERAGE(Data!J443), "  ")</f>
        <v>-60</v>
      </c>
      <c r="K438" s="44">
        <f>IFERROR(AVERAGE(Data!K443), "  ")</f>
        <v>0.39049235993208831</v>
      </c>
      <c r="L438" s="45">
        <f>IFERROR(AVERAGE(Data!L443), "  ")</f>
        <v>602</v>
      </c>
    </row>
    <row r="439" spans="1:12" x14ac:dyDescent="0.2">
      <c r="A439" s="43">
        <f>Data!A444</f>
        <v>41699</v>
      </c>
      <c r="B439" s="42">
        <f>IFERROR(AVERAGE(Data!B444), "  ")</f>
        <v>127</v>
      </c>
      <c r="C439" s="42">
        <f>IFERROR(AVERAGE(Data!C444), "  ")</f>
        <v>44</v>
      </c>
      <c r="D439" s="42">
        <f>IFERROR(AVERAGE(Data!D444), "  ")</f>
        <v>218</v>
      </c>
      <c r="E439" s="42">
        <f>IFERROR(AVERAGE(Data!E444), "  ")</f>
        <v>389</v>
      </c>
      <c r="F439" s="42">
        <f>IFERROR(AVERAGE(Data!F444), "  ")</f>
        <v>703</v>
      </c>
      <c r="G439" s="42">
        <f>IFERROR(AVERAGE(Data!G444), "  ")</f>
        <v>314</v>
      </c>
      <c r="H439" s="44">
        <f>IFERROR(AVERAGE(Data!H444), "  ")</f>
        <v>-0.14163614163614163</v>
      </c>
      <c r="I439" s="44">
        <f>IFERROR(AVERAGE(Data!I444), "  ")</f>
        <v>0.37943262411347517</v>
      </c>
      <c r="J439" s="42">
        <f>IFERROR(AVERAGE(Data!J444), "  ")</f>
        <v>107</v>
      </c>
      <c r="K439" s="44">
        <f>IFERROR(AVERAGE(Data!K444), "  ")</f>
        <v>0.39761431411530818</v>
      </c>
      <c r="L439" s="45">
        <f>IFERROR(AVERAGE(Data!L444), "  ")</f>
        <v>603.33333333333337</v>
      </c>
    </row>
    <row r="440" spans="1:12" x14ac:dyDescent="0.2">
      <c r="A440" s="43">
        <f>Data!A445</f>
        <v>41706</v>
      </c>
      <c r="B440" s="42">
        <f>IFERROR(AVERAGE(Data!B445), "  ")</f>
        <v>133</v>
      </c>
      <c r="C440" s="42">
        <f>IFERROR(AVERAGE(Data!C445), "  ")</f>
        <v>37</v>
      </c>
      <c r="D440" s="42">
        <f>IFERROR(AVERAGE(Data!D445), "  ")</f>
        <v>169</v>
      </c>
      <c r="E440" s="42">
        <f>IFERROR(AVERAGE(Data!E445), "  ")</f>
        <v>339</v>
      </c>
      <c r="F440" s="42">
        <f>IFERROR(AVERAGE(Data!F445), "  ")</f>
        <v>691</v>
      </c>
      <c r="G440" s="42">
        <f>IFERROR(AVERAGE(Data!G445), "  ")</f>
        <v>352</v>
      </c>
      <c r="H440" s="44">
        <f>IFERROR(AVERAGE(Data!H445), "  ")</f>
        <v>-1.7069701280227598E-2</v>
      </c>
      <c r="I440" s="44">
        <f>IFERROR(AVERAGE(Data!I445), "  ")</f>
        <v>-0.12853470437017994</v>
      </c>
      <c r="J440" s="42">
        <f>IFERROR(AVERAGE(Data!J445), "  ")</f>
        <v>-50</v>
      </c>
      <c r="K440" s="44">
        <f>IFERROR(AVERAGE(Data!K445), "  ")</f>
        <v>0.81842105263157894</v>
      </c>
      <c r="L440" s="45">
        <f>IFERROR(AVERAGE(Data!L445), "  ")</f>
        <v>478.66666666666669</v>
      </c>
    </row>
    <row r="441" spans="1:12" x14ac:dyDescent="0.2">
      <c r="A441" s="43">
        <f>Data!A446</f>
        <v>41713</v>
      </c>
      <c r="B441" s="42">
        <f>IFERROR(AVERAGE(Data!B446), "  ")</f>
        <v>212</v>
      </c>
      <c r="C441" s="42">
        <f>IFERROR(AVERAGE(Data!C446), "  ")</f>
        <v>40</v>
      </c>
      <c r="D441" s="42">
        <f>IFERROR(AVERAGE(Data!D446), "  ")</f>
        <v>227</v>
      </c>
      <c r="E441" s="42">
        <f>IFERROR(AVERAGE(Data!E446), "  ")</f>
        <v>479</v>
      </c>
      <c r="F441" s="42">
        <f>IFERROR(AVERAGE(Data!F446), "  ")</f>
        <v>726</v>
      </c>
      <c r="G441" s="42">
        <f>IFERROR(AVERAGE(Data!G446), "  ")</f>
        <v>247</v>
      </c>
      <c r="H441" s="44">
        <f>IFERROR(AVERAGE(Data!H446), "  ")</f>
        <v>5.0651230101302458E-2</v>
      </c>
      <c r="I441" s="44">
        <f>IFERROR(AVERAGE(Data!I446), "  ")</f>
        <v>0.41297935103244837</v>
      </c>
      <c r="J441" s="42">
        <f>IFERROR(AVERAGE(Data!J446), "  ")</f>
        <v>140</v>
      </c>
      <c r="K441" s="44">
        <f>IFERROR(AVERAGE(Data!K446), "  ")</f>
        <v>0.6205357142857143</v>
      </c>
      <c r="L441" s="45">
        <f>IFERROR(AVERAGE(Data!L446), "  ")</f>
        <v>504</v>
      </c>
    </row>
    <row r="442" spans="1:12" x14ac:dyDescent="0.2">
      <c r="A442" s="43">
        <f>Data!A447</f>
        <v>41720</v>
      </c>
      <c r="B442" s="42">
        <f>IFERROR(AVERAGE(Data!B447), "  ")</f>
        <v>136</v>
      </c>
      <c r="C442" s="42">
        <f>IFERROR(AVERAGE(Data!C447), "  ")</f>
        <v>39</v>
      </c>
      <c r="D442" s="42">
        <f>IFERROR(AVERAGE(Data!D447), "  ")</f>
        <v>214</v>
      </c>
      <c r="E442" s="42">
        <f>IFERROR(AVERAGE(Data!E447), "  ")</f>
        <v>389</v>
      </c>
      <c r="F442" s="42">
        <f>IFERROR(AVERAGE(Data!F447), "  ")</f>
        <v>757</v>
      </c>
      <c r="G442" s="42">
        <f>IFERROR(AVERAGE(Data!G447), "  ")</f>
        <v>368</v>
      </c>
      <c r="H442" s="44">
        <f>IFERROR(AVERAGE(Data!H447), "  ")</f>
        <v>4.2699724517906337E-2</v>
      </c>
      <c r="I442" s="44">
        <f>IFERROR(AVERAGE(Data!I447), "  ")</f>
        <v>-0.18789144050104384</v>
      </c>
      <c r="J442" s="42">
        <f>IFERROR(AVERAGE(Data!J447), "  ")</f>
        <v>-90</v>
      </c>
      <c r="K442" s="44">
        <f>IFERROR(AVERAGE(Data!K447), "  ")</f>
        <v>0.90680100755667503</v>
      </c>
      <c r="L442" s="45">
        <f>IFERROR(AVERAGE(Data!L447), "  ")</f>
        <v>516.66666666666663</v>
      </c>
    </row>
    <row r="443" spans="1:12" x14ac:dyDescent="0.2">
      <c r="A443" s="43">
        <f>Data!A448</f>
        <v>41727</v>
      </c>
      <c r="B443" s="42">
        <f>IFERROR(AVERAGE(Data!B448), "  ")</f>
        <v>249</v>
      </c>
      <c r="C443" s="42">
        <f>IFERROR(AVERAGE(Data!C448), "  ")</f>
        <v>27</v>
      </c>
      <c r="D443" s="42">
        <f>IFERROR(AVERAGE(Data!D448), "  ")</f>
        <v>219</v>
      </c>
      <c r="E443" s="42">
        <f>IFERROR(AVERAGE(Data!E448), "  ")</f>
        <v>495</v>
      </c>
      <c r="F443" s="42">
        <f>IFERROR(AVERAGE(Data!F448), "  ")</f>
        <v>761</v>
      </c>
      <c r="G443" s="42">
        <f>IFERROR(AVERAGE(Data!G448), "  ")</f>
        <v>266</v>
      </c>
      <c r="H443" s="44">
        <f>IFERROR(AVERAGE(Data!H448), "  ")</f>
        <v>5.2840158520475562E-3</v>
      </c>
      <c r="I443" s="44">
        <f>IFERROR(AVERAGE(Data!I448), "  ")</f>
        <v>0.27249357326478146</v>
      </c>
      <c r="J443" s="42">
        <f>IFERROR(AVERAGE(Data!J448), "  ")</f>
        <v>106</v>
      </c>
      <c r="K443" s="44">
        <f>IFERROR(AVERAGE(Data!K448), "  ")</f>
        <v>1.0964187327823691</v>
      </c>
      <c r="L443" s="45">
        <f>IFERROR(AVERAGE(Data!L448), "  ")</f>
        <v>447.33333333333331</v>
      </c>
    </row>
    <row r="444" spans="1:12" x14ac:dyDescent="0.2">
      <c r="A444" s="43">
        <f>Data!A449</f>
        <v>41734</v>
      </c>
      <c r="B444" s="42">
        <f>IFERROR(AVERAGE(Data!B449), "  ")</f>
        <v>252</v>
      </c>
      <c r="C444" s="42">
        <f>IFERROR(AVERAGE(Data!C449), "  ")</f>
        <v>28</v>
      </c>
      <c r="D444" s="42">
        <f>IFERROR(AVERAGE(Data!D449), "  ")</f>
        <v>139</v>
      </c>
      <c r="E444" s="42">
        <f>IFERROR(AVERAGE(Data!E449), "  ")</f>
        <v>419</v>
      </c>
      <c r="F444" s="42">
        <f>IFERROR(AVERAGE(Data!F449), "  ")</f>
        <v>709</v>
      </c>
      <c r="G444" s="42">
        <f>IFERROR(AVERAGE(Data!G449), "  ")</f>
        <v>290</v>
      </c>
      <c r="H444" s="44">
        <f>IFERROR(AVERAGE(Data!H449), "  ")</f>
        <v>-6.8331143232588695E-2</v>
      </c>
      <c r="I444" s="44">
        <f>IFERROR(AVERAGE(Data!I449), "  ")</f>
        <v>-0.15353535353535352</v>
      </c>
      <c r="J444" s="42">
        <f>IFERROR(AVERAGE(Data!J449), "  ")</f>
        <v>-76</v>
      </c>
      <c r="K444" s="44">
        <f>IFERROR(AVERAGE(Data!K449), "  ")</f>
        <v>1.279742765273312</v>
      </c>
      <c r="L444" s="45">
        <f>IFERROR(AVERAGE(Data!L449), "  ")</f>
        <v>449.33333333333331</v>
      </c>
    </row>
    <row r="445" spans="1:12" x14ac:dyDescent="0.2">
      <c r="A445" s="43">
        <f>Data!A450</f>
        <v>41741</v>
      </c>
      <c r="B445" s="42">
        <f>IFERROR(AVERAGE(Data!B450), "  ")</f>
        <v>282</v>
      </c>
      <c r="C445" s="42">
        <f>IFERROR(AVERAGE(Data!C450), "  ")</f>
        <v>20</v>
      </c>
      <c r="D445" s="42">
        <f>IFERROR(AVERAGE(Data!D450), "  ")</f>
        <v>149</v>
      </c>
      <c r="E445" s="42">
        <f>IFERROR(AVERAGE(Data!E450), "  ")</f>
        <v>451</v>
      </c>
      <c r="F445" s="42">
        <f>IFERROR(AVERAGE(Data!F450), "  ")</f>
        <v>676</v>
      </c>
      <c r="G445" s="42">
        <f>IFERROR(AVERAGE(Data!G450), "  ")</f>
        <v>225</v>
      </c>
      <c r="H445" s="44">
        <f>IFERROR(AVERAGE(Data!H450), "  ")</f>
        <v>-4.6544428772919602E-2</v>
      </c>
      <c r="I445" s="44">
        <f>IFERROR(AVERAGE(Data!I450), "  ")</f>
        <v>7.6372315035799526E-2</v>
      </c>
      <c r="J445" s="42">
        <f>IFERROR(AVERAGE(Data!J450), "  ")</f>
        <v>32</v>
      </c>
      <c r="K445" s="44">
        <f>IFERROR(AVERAGE(Data!K450), "  ")</f>
        <v>1.0672782874617737</v>
      </c>
      <c r="L445" s="45">
        <f>IFERROR(AVERAGE(Data!L450), "  ")</f>
        <v>474.33333333333331</v>
      </c>
    </row>
    <row r="446" spans="1:12" x14ac:dyDescent="0.2">
      <c r="A446" s="43">
        <f>Data!A451</f>
        <v>41748</v>
      </c>
      <c r="B446" s="42">
        <f>IFERROR(AVERAGE(Data!B451), "  ")</f>
        <v>302</v>
      </c>
      <c r="C446" s="42">
        <f>IFERROR(AVERAGE(Data!C451), "  ")</f>
        <v>28</v>
      </c>
      <c r="D446" s="42">
        <f>IFERROR(AVERAGE(Data!D451), "  ")</f>
        <v>111</v>
      </c>
      <c r="E446" s="42">
        <f>IFERROR(AVERAGE(Data!E451), "  ")</f>
        <v>441</v>
      </c>
      <c r="F446" s="42">
        <f>IFERROR(AVERAGE(Data!F451), "  ")</f>
        <v>623</v>
      </c>
      <c r="G446" s="42">
        <f>IFERROR(AVERAGE(Data!G451), "  ")</f>
        <v>182</v>
      </c>
      <c r="H446" s="44">
        <f>IFERROR(AVERAGE(Data!H451), "  ")</f>
        <v>-7.8402366863905323E-2</v>
      </c>
      <c r="I446" s="44">
        <f>IFERROR(AVERAGE(Data!I451), "  ")</f>
        <v>-2.2172949002217297E-2</v>
      </c>
      <c r="J446" s="42">
        <f>IFERROR(AVERAGE(Data!J451), "  ")</f>
        <v>-10</v>
      </c>
      <c r="K446" s="44">
        <f>IFERROR(AVERAGE(Data!K451), "  ")</f>
        <v>0.64814814814814814</v>
      </c>
      <c r="L446" s="45">
        <f>IFERROR(AVERAGE(Data!L451), "  ")</f>
        <v>385.33333333333331</v>
      </c>
    </row>
    <row r="447" spans="1:12" x14ac:dyDescent="0.2">
      <c r="A447" s="43">
        <f>Data!A452</f>
        <v>41755</v>
      </c>
      <c r="B447" s="42">
        <f>IFERROR(AVERAGE(Data!B452), "  ")</f>
        <v>271</v>
      </c>
      <c r="C447" s="42">
        <f>IFERROR(AVERAGE(Data!C452), "  ")</f>
        <v>18</v>
      </c>
      <c r="D447" s="42">
        <f>IFERROR(AVERAGE(Data!D452), "  ")</f>
        <v>115</v>
      </c>
      <c r="E447" s="42">
        <f>IFERROR(AVERAGE(Data!E452), "  ")</f>
        <v>404</v>
      </c>
      <c r="F447" s="42">
        <f>IFERROR(AVERAGE(Data!F452), "  ")</f>
        <v>544</v>
      </c>
      <c r="G447" s="42">
        <f>IFERROR(AVERAGE(Data!G452), "  ")</f>
        <v>140</v>
      </c>
      <c r="H447" s="44">
        <f>IFERROR(AVERAGE(Data!H452), "  ")</f>
        <v>-0.12680577849117175</v>
      </c>
      <c r="I447" s="44">
        <f>IFERROR(AVERAGE(Data!I452), "  ")</f>
        <v>-8.390022675736962E-2</v>
      </c>
      <c r="J447" s="42">
        <f>IFERROR(AVERAGE(Data!J452), "  ")</f>
        <v>-37</v>
      </c>
      <c r="K447" s="44">
        <f>IFERROR(AVERAGE(Data!K452), "  ")</f>
        <v>0.95683453237410077</v>
      </c>
      <c r="L447" s="45">
        <f>IFERROR(AVERAGE(Data!L452), "  ")</f>
        <v>326.66666666666669</v>
      </c>
    </row>
    <row r="448" spans="1:12" x14ac:dyDescent="0.2">
      <c r="A448" s="43">
        <f>Data!A453</f>
        <v>41762</v>
      </c>
      <c r="B448" s="42">
        <f>IFERROR(AVERAGE(Data!B453), "  ")</f>
        <v>382</v>
      </c>
      <c r="C448" s="42">
        <f>IFERROR(AVERAGE(Data!C453), "  ")</f>
        <v>32</v>
      </c>
      <c r="D448" s="42">
        <f>IFERROR(AVERAGE(Data!D453), "  ")</f>
        <v>94</v>
      </c>
      <c r="E448" s="42">
        <f>IFERROR(AVERAGE(Data!E453), "  ")</f>
        <v>508</v>
      </c>
      <c r="F448" s="42">
        <f>IFERROR(AVERAGE(Data!F453), "  ")</f>
        <v>613</v>
      </c>
      <c r="G448" s="42">
        <f>IFERROR(AVERAGE(Data!G453), "  ")</f>
        <v>105</v>
      </c>
      <c r="H448" s="44">
        <f>IFERROR(AVERAGE(Data!H453), "  ")</f>
        <v>0.12683823529411764</v>
      </c>
      <c r="I448" s="44">
        <f>IFERROR(AVERAGE(Data!I453), "  ")</f>
        <v>0.25742574257425743</v>
      </c>
      <c r="J448" s="42">
        <f>IFERROR(AVERAGE(Data!J453), "  ")</f>
        <v>104</v>
      </c>
      <c r="K448" s="44">
        <f>IFERROR(AVERAGE(Data!K453), "  ")</f>
        <v>1.6196581196581197</v>
      </c>
      <c r="L448" s="45">
        <f>IFERROR(AVERAGE(Data!L453), "  ")</f>
        <v>330</v>
      </c>
    </row>
    <row r="449" spans="1:12" x14ac:dyDescent="0.2">
      <c r="A449" s="43">
        <f>Data!A454</f>
        <v>41769</v>
      </c>
      <c r="B449" s="42">
        <f>IFERROR(AVERAGE(Data!B454), "  ")</f>
        <v>361</v>
      </c>
      <c r="C449" s="42">
        <f>IFERROR(AVERAGE(Data!C454), "  ")</f>
        <v>21</v>
      </c>
      <c r="D449" s="42">
        <f>IFERROR(AVERAGE(Data!D454), "  ")</f>
        <v>90</v>
      </c>
      <c r="E449" s="42">
        <f>IFERROR(AVERAGE(Data!E454), "  ")</f>
        <v>472</v>
      </c>
      <c r="F449" s="42">
        <f>IFERROR(AVERAGE(Data!F454), "  ")</f>
        <v>492</v>
      </c>
      <c r="G449" s="42">
        <f>IFERROR(AVERAGE(Data!G454), "  ")</f>
        <v>20</v>
      </c>
      <c r="H449" s="44">
        <f>IFERROR(AVERAGE(Data!H454), "  ")</f>
        <v>-0.19738988580750408</v>
      </c>
      <c r="I449" s="44">
        <f>IFERROR(AVERAGE(Data!I454), "  ")</f>
        <v>-7.0866141732283464E-2</v>
      </c>
      <c r="J449" s="42">
        <f>IFERROR(AVERAGE(Data!J454), "  ")</f>
        <v>-36</v>
      </c>
      <c r="K449" s="44">
        <f>IFERROR(AVERAGE(Data!K454), "  ")</f>
        <v>1.4356435643564356</v>
      </c>
      <c r="L449" s="45">
        <f>IFERROR(AVERAGE(Data!L454), "  ")</f>
        <v>373.66666666666669</v>
      </c>
    </row>
    <row r="450" spans="1:12" x14ac:dyDescent="0.2">
      <c r="A450" s="43">
        <f>Data!A455</f>
        <v>41776</v>
      </c>
      <c r="B450" s="42">
        <f>IFERROR(AVERAGE(Data!B455), "  ")</f>
        <v>338</v>
      </c>
      <c r="C450" s="42">
        <f>IFERROR(AVERAGE(Data!C455), "  ")</f>
        <v>44</v>
      </c>
      <c r="D450" s="42">
        <f>IFERROR(AVERAGE(Data!D455), "  ")</f>
        <v>74</v>
      </c>
      <c r="E450" s="42">
        <f>IFERROR(AVERAGE(Data!E455), "  ")</f>
        <v>456</v>
      </c>
      <c r="F450" s="42">
        <f>IFERROR(AVERAGE(Data!F455), "  ")</f>
        <v>567</v>
      </c>
      <c r="G450" s="42">
        <f>IFERROR(AVERAGE(Data!G455), "  ")</f>
        <v>111</v>
      </c>
      <c r="H450" s="44">
        <f>IFERROR(AVERAGE(Data!H455), "  ")</f>
        <v>0.1524390243902439</v>
      </c>
      <c r="I450" s="44">
        <f>IFERROR(AVERAGE(Data!I455), "  ")</f>
        <v>-3.3898305084745763E-2</v>
      </c>
      <c r="J450" s="42">
        <f>IFERROR(AVERAGE(Data!J455), "  ")</f>
        <v>-16</v>
      </c>
      <c r="K450" s="44">
        <f>IFERROR(AVERAGE(Data!K455), "  ")</f>
        <v>0.50797872340425532</v>
      </c>
      <c r="L450" s="45">
        <f>IFERROR(AVERAGE(Data!L455), "  ")</f>
        <v>387</v>
      </c>
    </row>
    <row r="451" spans="1:12" x14ac:dyDescent="0.2">
      <c r="A451" s="43">
        <f>Data!A456</f>
        <v>41783</v>
      </c>
      <c r="B451" s="42">
        <f>IFERROR(AVERAGE(Data!B456), "  ")</f>
        <v>350</v>
      </c>
      <c r="C451" s="42">
        <f>IFERROR(AVERAGE(Data!C456), "  ")</f>
        <v>7</v>
      </c>
      <c r="D451" s="42">
        <f>IFERROR(AVERAGE(Data!D456), "  ")</f>
        <v>65</v>
      </c>
      <c r="E451" s="42">
        <f>IFERROR(AVERAGE(Data!E456), "  ")</f>
        <v>422</v>
      </c>
      <c r="F451" s="42">
        <f>IFERROR(AVERAGE(Data!F456), "  ")</f>
        <v>606</v>
      </c>
      <c r="G451" s="42">
        <f>IFERROR(AVERAGE(Data!G456), "  ")</f>
        <v>184</v>
      </c>
      <c r="H451" s="44">
        <f>IFERROR(AVERAGE(Data!H456), "  ")</f>
        <v>6.8783068783068779E-2</v>
      </c>
      <c r="I451" s="44">
        <f>IFERROR(AVERAGE(Data!I456), "  ")</f>
        <v>-7.4561403508771926E-2</v>
      </c>
      <c r="J451" s="42">
        <f>IFERROR(AVERAGE(Data!J456), "  ")</f>
        <v>-34</v>
      </c>
      <c r="K451" s="44">
        <f>IFERROR(AVERAGE(Data!K456), "  ")</f>
        <v>0.58638743455497377</v>
      </c>
      <c r="L451" s="45">
        <f>IFERROR(AVERAGE(Data!L456), "  ")</f>
        <v>392.66666666666669</v>
      </c>
    </row>
    <row r="452" spans="1:12" x14ac:dyDescent="0.2">
      <c r="A452" s="43">
        <f>Data!A457</f>
        <v>41790</v>
      </c>
      <c r="B452" s="42">
        <f>IFERROR(AVERAGE(Data!B457), "  ")</f>
        <v>428</v>
      </c>
      <c r="C452" s="42">
        <f>IFERROR(AVERAGE(Data!C457), "  ")</f>
        <v>24</v>
      </c>
      <c r="D452" s="42">
        <f>IFERROR(AVERAGE(Data!D457), "  ")</f>
        <v>97</v>
      </c>
      <c r="E452" s="42">
        <f>IFERROR(AVERAGE(Data!E457), "  ")</f>
        <v>549</v>
      </c>
      <c r="F452" s="42">
        <f>IFERROR(AVERAGE(Data!F457), "  ")</f>
        <v>453</v>
      </c>
      <c r="G452" s="42">
        <f>IFERROR(AVERAGE(Data!G457), "  ")</f>
        <v>-96</v>
      </c>
      <c r="H452" s="44">
        <f>IFERROR(AVERAGE(Data!H457), "  ")</f>
        <v>-0.25247524752475248</v>
      </c>
      <c r="I452" s="44">
        <f>IFERROR(AVERAGE(Data!I457), "  ")</f>
        <v>0.3009478672985782</v>
      </c>
      <c r="J452" s="42">
        <f>IFERROR(AVERAGE(Data!J457), "  ")</f>
        <v>127</v>
      </c>
      <c r="K452" s="44">
        <f>IFERROR(AVERAGE(Data!K457), "  ")</f>
        <v>0.6966292134831461</v>
      </c>
      <c r="L452" s="45">
        <f>IFERROR(AVERAGE(Data!L457), "  ")</f>
        <v>315.33333333333331</v>
      </c>
    </row>
    <row r="453" spans="1:12" x14ac:dyDescent="0.2">
      <c r="A453" s="43">
        <f>Data!A458</f>
        <v>41797</v>
      </c>
      <c r="B453" s="42">
        <f>IFERROR(AVERAGE(Data!B458), "  ")</f>
        <v>357</v>
      </c>
      <c r="C453" s="42">
        <f>IFERROR(AVERAGE(Data!C458), "  ")</f>
        <v>17</v>
      </c>
      <c r="D453" s="42">
        <f>IFERROR(AVERAGE(Data!D458), "  ")</f>
        <v>120</v>
      </c>
      <c r="E453" s="42">
        <f>IFERROR(AVERAGE(Data!E458), "  ")</f>
        <v>494</v>
      </c>
      <c r="F453" s="42">
        <f>IFERROR(AVERAGE(Data!F458), "  ")</f>
        <v>564</v>
      </c>
      <c r="G453" s="42">
        <f>IFERROR(AVERAGE(Data!G458), "  ")</f>
        <v>70</v>
      </c>
      <c r="H453" s="44">
        <f>IFERROR(AVERAGE(Data!H458), "  ")</f>
        <v>0.24503311258278146</v>
      </c>
      <c r="I453" s="44">
        <f>IFERROR(AVERAGE(Data!I458), "  ")</f>
        <v>-0.10018214936247723</v>
      </c>
      <c r="J453" s="42">
        <f>IFERROR(AVERAGE(Data!J458), "  ")</f>
        <v>-55</v>
      </c>
      <c r="K453" s="44">
        <f>IFERROR(AVERAGE(Data!K458), "  ")</f>
        <v>0.80191693290734822</v>
      </c>
      <c r="L453" s="45">
        <f>IFERROR(AVERAGE(Data!L458), "  ")</f>
        <v>284.33333333333331</v>
      </c>
    </row>
    <row r="454" spans="1:12" x14ac:dyDescent="0.2">
      <c r="A454" s="43">
        <f>Data!A459</f>
        <v>41804</v>
      </c>
      <c r="B454" s="42">
        <f>IFERROR(AVERAGE(Data!B459), "  ")</f>
        <v>349</v>
      </c>
      <c r="C454" s="42">
        <f>IFERROR(AVERAGE(Data!C459), "  ")</f>
        <v>14</v>
      </c>
      <c r="D454" s="42">
        <f>IFERROR(AVERAGE(Data!D459), "  ")</f>
        <v>53</v>
      </c>
      <c r="E454" s="42">
        <f>IFERROR(AVERAGE(Data!E459), "  ")</f>
        <v>416</v>
      </c>
      <c r="F454" s="42">
        <f>IFERROR(AVERAGE(Data!F459), "  ")</f>
        <v>592</v>
      </c>
      <c r="G454" s="42">
        <f>IFERROR(AVERAGE(Data!G459), "  ")</f>
        <v>176</v>
      </c>
      <c r="H454" s="44">
        <f>IFERROR(AVERAGE(Data!H459), "  ")</f>
        <v>4.9645390070921988E-2</v>
      </c>
      <c r="I454" s="44">
        <f>IFERROR(AVERAGE(Data!I459), "  ")</f>
        <v>-0.15789473684210525</v>
      </c>
      <c r="J454" s="42">
        <f>IFERROR(AVERAGE(Data!J459), "  ")</f>
        <v>-78</v>
      </c>
      <c r="K454" s="44">
        <f>IFERROR(AVERAGE(Data!K459), "  ")</f>
        <v>1.2769230769230768</v>
      </c>
      <c r="L454" s="45">
        <f>IFERROR(AVERAGE(Data!L459), "  ")</f>
        <v>350</v>
      </c>
    </row>
    <row r="455" spans="1:12" x14ac:dyDescent="0.2">
      <c r="A455" s="43">
        <f>Data!A460</f>
        <v>41811</v>
      </c>
      <c r="B455" s="42">
        <f>IFERROR(AVERAGE(Data!B460), "  ")</f>
        <v>464</v>
      </c>
      <c r="C455" s="42">
        <f>IFERROR(AVERAGE(Data!C460), "  ")</f>
        <v>20</v>
      </c>
      <c r="D455" s="42">
        <f>IFERROR(AVERAGE(Data!D460), "  ")</f>
        <v>52</v>
      </c>
      <c r="E455" s="42">
        <f>IFERROR(AVERAGE(Data!E460), "  ")</f>
        <v>536</v>
      </c>
      <c r="F455" s="42">
        <f>IFERROR(AVERAGE(Data!F460), "  ")</f>
        <v>431</v>
      </c>
      <c r="G455" s="42">
        <f>IFERROR(AVERAGE(Data!G460), "  ")</f>
        <v>-105</v>
      </c>
      <c r="H455" s="44">
        <f>IFERROR(AVERAGE(Data!H460), "  ")</f>
        <v>-0.27195945945945948</v>
      </c>
      <c r="I455" s="44">
        <f>IFERROR(AVERAGE(Data!I460), "  ")</f>
        <v>0.28846153846153844</v>
      </c>
      <c r="J455" s="42">
        <f>IFERROR(AVERAGE(Data!J460), "  ")</f>
        <v>120</v>
      </c>
      <c r="K455" s="44">
        <f>IFERROR(AVERAGE(Data!K460), "  ")</f>
        <v>0.31402439024390244</v>
      </c>
      <c r="L455" s="45">
        <f>IFERROR(AVERAGE(Data!L460), "  ")</f>
        <v>370</v>
      </c>
    </row>
    <row r="456" spans="1:12" x14ac:dyDescent="0.2">
      <c r="A456" s="43">
        <f>Data!A461</f>
        <v>41818</v>
      </c>
      <c r="B456" s="42">
        <f>IFERROR(AVERAGE(Data!B461), "  ")</f>
        <v>376</v>
      </c>
      <c r="C456" s="42">
        <f>IFERROR(AVERAGE(Data!C461), "  ")</f>
        <v>43</v>
      </c>
      <c r="D456" s="42">
        <f>IFERROR(AVERAGE(Data!D461), "  ")</f>
        <v>99</v>
      </c>
      <c r="E456" s="42">
        <f>IFERROR(AVERAGE(Data!E461), "  ")</f>
        <v>518</v>
      </c>
      <c r="F456" s="42">
        <f>IFERROR(AVERAGE(Data!F461), "  ")</f>
        <v>531</v>
      </c>
      <c r="G456" s="42">
        <f>IFERROR(AVERAGE(Data!G461), "  ")</f>
        <v>13</v>
      </c>
      <c r="H456" s="44">
        <f>IFERROR(AVERAGE(Data!H461), "  ")</f>
        <v>0.23201856148491878</v>
      </c>
      <c r="I456" s="44">
        <f>IFERROR(AVERAGE(Data!I461), "  ")</f>
        <v>-3.3582089552238806E-2</v>
      </c>
      <c r="J456" s="42">
        <f>IFERROR(AVERAGE(Data!J461), "  ")</f>
        <v>-18</v>
      </c>
      <c r="K456" s="44">
        <f>IFERROR(AVERAGE(Data!K461), "  ")</f>
        <v>0.34771573604060912</v>
      </c>
      <c r="L456" s="45">
        <f>IFERROR(AVERAGE(Data!L461), "  ")</f>
        <v>435.66666666666669</v>
      </c>
    </row>
    <row r="457" spans="1:12" x14ac:dyDescent="0.2">
      <c r="A457" s="43">
        <f>Data!A462</f>
        <v>41825</v>
      </c>
      <c r="B457" s="42">
        <f>IFERROR(AVERAGE(Data!B462), "  ")</f>
        <v>280</v>
      </c>
      <c r="C457" s="42">
        <f>IFERROR(AVERAGE(Data!C462), "  ")</f>
        <v>20</v>
      </c>
      <c r="D457" s="42">
        <f>IFERROR(AVERAGE(Data!D462), "  ")</f>
        <v>117</v>
      </c>
      <c r="E457" s="42">
        <f>IFERROR(AVERAGE(Data!E462), "  ")</f>
        <v>417</v>
      </c>
      <c r="F457" s="42">
        <f>IFERROR(AVERAGE(Data!F462), "  ")</f>
        <v>575</v>
      </c>
      <c r="G457" s="42">
        <f>IFERROR(AVERAGE(Data!G462), "  ")</f>
        <v>158</v>
      </c>
      <c r="H457" s="44">
        <f>IFERROR(AVERAGE(Data!H462), "  ")</f>
        <v>8.2862523540489647E-2</v>
      </c>
      <c r="I457" s="44">
        <f>IFERROR(AVERAGE(Data!I462), "  ")</f>
        <v>-0.19498069498069498</v>
      </c>
      <c r="J457" s="42">
        <f>IFERROR(AVERAGE(Data!J462), "  ")</f>
        <v>-101</v>
      </c>
      <c r="K457" s="44">
        <f>IFERROR(AVERAGE(Data!K462), "  ")</f>
        <v>1.0034843205574913</v>
      </c>
      <c r="L457" s="45">
        <f>IFERROR(AVERAGE(Data!L462), "  ")</f>
        <v>390.33333333333331</v>
      </c>
    </row>
    <row r="458" spans="1:12" x14ac:dyDescent="0.2">
      <c r="A458" s="43">
        <f>Data!A463</f>
        <v>41832</v>
      </c>
      <c r="B458" s="42">
        <f>IFERROR(AVERAGE(Data!B463), "  ")</f>
        <v>166</v>
      </c>
      <c r="C458" s="42">
        <f>IFERROR(AVERAGE(Data!C463), "  ")</f>
        <v>43</v>
      </c>
      <c r="D458" s="42">
        <f>IFERROR(AVERAGE(Data!D463), "  ")</f>
        <v>113</v>
      </c>
      <c r="E458" s="42">
        <f>IFERROR(AVERAGE(Data!E463), "  ")</f>
        <v>322</v>
      </c>
      <c r="F458" s="42">
        <f>IFERROR(AVERAGE(Data!F463), "  ")</f>
        <v>600</v>
      </c>
      <c r="G458" s="42">
        <f>IFERROR(AVERAGE(Data!G463), "  ")</f>
        <v>278</v>
      </c>
      <c r="H458" s="44">
        <f>IFERROR(AVERAGE(Data!H463), "  ")</f>
        <v>4.3478260869565216E-2</v>
      </c>
      <c r="I458" s="44">
        <f>IFERROR(AVERAGE(Data!I463), "  ")</f>
        <v>-0.22781774580335731</v>
      </c>
      <c r="J458" s="42">
        <f>IFERROR(AVERAGE(Data!J463), "  ")</f>
        <v>-95</v>
      </c>
      <c r="K458" s="44">
        <f>IFERROR(AVERAGE(Data!K463), "  ")</f>
        <v>0.39534883720930231</v>
      </c>
      <c r="L458" s="45">
        <f>IFERROR(AVERAGE(Data!L463), "  ")</f>
        <v>438.66666666666669</v>
      </c>
    </row>
    <row r="459" spans="1:12" x14ac:dyDescent="0.2">
      <c r="A459" s="43">
        <f>Data!A464</f>
        <v>41839</v>
      </c>
      <c r="B459" s="42">
        <f>IFERROR(AVERAGE(Data!B464), "  ")</f>
        <v>170</v>
      </c>
      <c r="C459" s="42">
        <f>IFERROR(AVERAGE(Data!C464), "  ")</f>
        <v>25</v>
      </c>
      <c r="D459" s="42">
        <f>IFERROR(AVERAGE(Data!D464), "  ")</f>
        <v>72</v>
      </c>
      <c r="E459" s="42">
        <f>IFERROR(AVERAGE(Data!E464), "  ")</f>
        <v>267</v>
      </c>
      <c r="F459" s="42">
        <f>IFERROR(AVERAGE(Data!F464), "  ")</f>
        <v>461</v>
      </c>
      <c r="G459" s="42">
        <f>IFERROR(AVERAGE(Data!G464), "  ")</f>
        <v>194</v>
      </c>
      <c r="H459" s="44">
        <f>IFERROR(AVERAGE(Data!H464), "  ")</f>
        <v>-0.23166666666666666</v>
      </c>
      <c r="I459" s="44">
        <f>IFERROR(AVERAGE(Data!I464), "  ")</f>
        <v>-0.17080745341614906</v>
      </c>
      <c r="J459" s="42">
        <f>IFERROR(AVERAGE(Data!J464), "  ")</f>
        <v>-55</v>
      </c>
      <c r="K459" s="44">
        <f>IFERROR(AVERAGE(Data!K464), "  ")</f>
        <v>0.46349206349206351</v>
      </c>
      <c r="L459" s="45">
        <f>IFERROR(AVERAGE(Data!L464), "  ")</f>
        <v>423.33333333333331</v>
      </c>
    </row>
    <row r="460" spans="1:12" x14ac:dyDescent="0.2">
      <c r="A460" s="43">
        <f>Data!A465</f>
        <v>41846</v>
      </c>
      <c r="B460" s="42">
        <f>IFERROR(AVERAGE(Data!B465), "  ")</f>
        <v>374</v>
      </c>
      <c r="C460" s="42">
        <f>IFERROR(AVERAGE(Data!C465), "  ")</f>
        <v>34</v>
      </c>
      <c r="D460" s="42">
        <f>IFERROR(AVERAGE(Data!D465), "  ")</f>
        <v>91</v>
      </c>
      <c r="E460" s="42">
        <f>IFERROR(AVERAGE(Data!E465), "  ")</f>
        <v>499</v>
      </c>
      <c r="F460" s="42">
        <f>IFERROR(AVERAGE(Data!F465), "  ")</f>
        <v>407</v>
      </c>
      <c r="G460" s="42">
        <f>IFERROR(AVERAGE(Data!G465), "  ")</f>
        <v>-92</v>
      </c>
      <c r="H460" s="44">
        <f>IFERROR(AVERAGE(Data!H465), "  ")</f>
        <v>-0.11713665943600868</v>
      </c>
      <c r="I460" s="44">
        <f>IFERROR(AVERAGE(Data!I465), "  ")</f>
        <v>0.86891385767790263</v>
      </c>
      <c r="J460" s="42">
        <f>IFERROR(AVERAGE(Data!J465), "  ")</f>
        <v>232</v>
      </c>
      <c r="K460" s="44">
        <f>IFERROR(AVERAGE(Data!K465), "  ")</f>
        <v>0.23708206686930092</v>
      </c>
      <c r="L460" s="45">
        <f>IFERROR(AVERAGE(Data!L465), "  ")</f>
        <v>390.33333333333331</v>
      </c>
    </row>
    <row r="461" spans="1:12" x14ac:dyDescent="0.2">
      <c r="A461" s="43">
        <f>Data!A466</f>
        <v>41853</v>
      </c>
      <c r="B461" s="42">
        <f>IFERROR(AVERAGE(Data!B466), "  ")</f>
        <v>359</v>
      </c>
      <c r="C461" s="42">
        <f>IFERROR(AVERAGE(Data!C466), "  ")</f>
        <v>35</v>
      </c>
      <c r="D461" s="42">
        <f>IFERROR(AVERAGE(Data!D466), "  ")</f>
        <v>95</v>
      </c>
      <c r="E461" s="42">
        <f>IFERROR(AVERAGE(Data!E466), "  ")</f>
        <v>489</v>
      </c>
      <c r="F461" s="42">
        <f>IFERROR(AVERAGE(Data!F466), "  ")</f>
        <v>398</v>
      </c>
      <c r="G461" s="42">
        <f>IFERROR(AVERAGE(Data!G466), "  ")</f>
        <v>-91</v>
      </c>
      <c r="H461" s="44">
        <f>IFERROR(AVERAGE(Data!H466), "  ")</f>
        <v>-2.2113022113022112E-2</v>
      </c>
      <c r="I461" s="44">
        <f>IFERROR(AVERAGE(Data!I466), "  ")</f>
        <v>-2.004008016032064E-2</v>
      </c>
      <c r="J461" s="42">
        <f>IFERROR(AVERAGE(Data!J466), "  ")</f>
        <v>-10</v>
      </c>
      <c r="K461" s="44">
        <f>IFERROR(AVERAGE(Data!K466), "  ")</f>
        <v>5.8510638297872342E-2</v>
      </c>
      <c r="L461" s="45">
        <f>IFERROR(AVERAGE(Data!L466), "  ")</f>
        <v>438</v>
      </c>
    </row>
    <row r="462" spans="1:12" x14ac:dyDescent="0.2">
      <c r="A462" s="43">
        <f>Data!A467</f>
        <v>41860</v>
      </c>
      <c r="B462" s="42">
        <f>IFERROR(AVERAGE(Data!B467), "  ")</f>
        <v>357</v>
      </c>
      <c r="C462" s="42">
        <f>IFERROR(AVERAGE(Data!C467), "  ")</f>
        <v>19</v>
      </c>
      <c r="D462" s="42">
        <f>IFERROR(AVERAGE(Data!D467), "  ")</f>
        <v>125</v>
      </c>
      <c r="E462" s="42">
        <f>IFERROR(AVERAGE(Data!E467), "  ")</f>
        <v>501</v>
      </c>
      <c r="F462" s="42">
        <f>IFERROR(AVERAGE(Data!F467), "  ")</f>
        <v>403</v>
      </c>
      <c r="G462" s="42">
        <f>IFERROR(AVERAGE(Data!G467), "  ")</f>
        <v>-98</v>
      </c>
      <c r="H462" s="44">
        <f>IFERROR(AVERAGE(Data!H467), "  ")</f>
        <v>1.2562814070351759E-2</v>
      </c>
      <c r="I462" s="44">
        <f>IFERROR(AVERAGE(Data!I467), "  ")</f>
        <v>2.4539877300613498E-2</v>
      </c>
      <c r="J462" s="42">
        <f>IFERROR(AVERAGE(Data!J467), "  ")</f>
        <v>12</v>
      </c>
      <c r="K462" s="44">
        <f>IFERROR(AVERAGE(Data!K467), "  ")</f>
        <v>7.1808510638297879E-2</v>
      </c>
      <c r="L462" s="45">
        <f>IFERROR(AVERAGE(Data!L467), "  ")</f>
        <v>488</v>
      </c>
    </row>
    <row r="463" spans="1:12" x14ac:dyDescent="0.2">
      <c r="A463" s="43">
        <f>Data!A468</f>
        <v>41867</v>
      </c>
      <c r="B463" s="42">
        <f>IFERROR(AVERAGE(Data!B468), "  ")</f>
        <v>201</v>
      </c>
      <c r="C463" s="42">
        <f>IFERROR(AVERAGE(Data!C468), "  ")</f>
        <v>27</v>
      </c>
      <c r="D463" s="42">
        <f>IFERROR(AVERAGE(Data!D468), "  ")</f>
        <v>121</v>
      </c>
      <c r="E463" s="42">
        <f>IFERROR(AVERAGE(Data!E468), "  ")</f>
        <v>349</v>
      </c>
      <c r="F463" s="42">
        <f>IFERROR(AVERAGE(Data!F468), "  ")</f>
        <v>442</v>
      </c>
      <c r="G463" s="42">
        <f>IFERROR(AVERAGE(Data!G468), "  ")</f>
        <v>93</v>
      </c>
      <c r="H463" s="44">
        <f>IFERROR(AVERAGE(Data!H468), "  ")</f>
        <v>9.6774193548387094E-2</v>
      </c>
      <c r="I463" s="44">
        <f>IFERROR(AVERAGE(Data!I468), "  ")</f>
        <v>-0.30339321357285431</v>
      </c>
      <c r="J463" s="42">
        <f>IFERROR(AVERAGE(Data!J468), "  ")</f>
        <v>-152</v>
      </c>
      <c r="K463" s="44">
        <f>IFERROR(AVERAGE(Data!K468), "  ")</f>
        <v>0.16315789473684211</v>
      </c>
      <c r="L463" s="45">
        <f>IFERROR(AVERAGE(Data!L468), "  ")</f>
        <v>438.33333333333331</v>
      </c>
    </row>
    <row r="464" spans="1:12" x14ac:dyDescent="0.2">
      <c r="A464" s="43">
        <f>Data!A469</f>
        <v>41874</v>
      </c>
      <c r="B464" s="42">
        <f>IFERROR(AVERAGE(Data!B469), "  ")</f>
        <v>311</v>
      </c>
      <c r="C464" s="42">
        <f>IFERROR(AVERAGE(Data!C469), "  ")</f>
        <v>6</v>
      </c>
      <c r="D464" s="42">
        <f>IFERROR(AVERAGE(Data!D469), "  ")</f>
        <v>62</v>
      </c>
      <c r="E464" s="42">
        <f>IFERROR(AVERAGE(Data!E469), "  ")</f>
        <v>379</v>
      </c>
      <c r="F464" s="42">
        <f>IFERROR(AVERAGE(Data!F469), "  ")</f>
        <v>475</v>
      </c>
      <c r="G464" s="42">
        <f>IFERROR(AVERAGE(Data!G469), "  ")</f>
        <v>96</v>
      </c>
      <c r="H464" s="44">
        <f>IFERROR(AVERAGE(Data!H469), "  ")</f>
        <v>7.4660633484162894E-2</v>
      </c>
      <c r="I464" s="44">
        <f>IFERROR(AVERAGE(Data!I469), "  ")</f>
        <v>8.5959885386819479E-2</v>
      </c>
      <c r="J464" s="42">
        <f>IFERROR(AVERAGE(Data!J469), "  ")</f>
        <v>30</v>
      </c>
      <c r="K464" s="44">
        <f>IFERROR(AVERAGE(Data!K469), "  ")</f>
        <v>0.259946949602122</v>
      </c>
      <c r="L464" s="45">
        <f>IFERROR(AVERAGE(Data!L469), "  ")</f>
        <v>473.33333333333331</v>
      </c>
    </row>
    <row r="465" spans="1:12" x14ac:dyDescent="0.2">
      <c r="A465" s="43">
        <f>Data!A470</f>
        <v>41881</v>
      </c>
      <c r="B465" s="42">
        <f>IFERROR(AVERAGE(Data!B470), "  ")</f>
        <v>330</v>
      </c>
      <c r="C465" s="42">
        <f>IFERROR(AVERAGE(Data!C470), "  ")</f>
        <v>47</v>
      </c>
      <c r="D465" s="42">
        <f>IFERROR(AVERAGE(Data!D470), "  ")</f>
        <v>80</v>
      </c>
      <c r="E465" s="42">
        <f>IFERROR(AVERAGE(Data!E470), "  ")</f>
        <v>457</v>
      </c>
      <c r="F465" s="42">
        <f>IFERROR(AVERAGE(Data!F470), "  ")</f>
        <v>474</v>
      </c>
      <c r="G465" s="42">
        <f>IFERROR(AVERAGE(Data!G470), "  ")</f>
        <v>17</v>
      </c>
      <c r="H465" s="44">
        <f>IFERROR(AVERAGE(Data!H470), "  ")</f>
        <v>-2.1052631578947368E-3</v>
      </c>
      <c r="I465" s="44">
        <f>IFERROR(AVERAGE(Data!I470), "  ")</f>
        <v>0.20580474934036938</v>
      </c>
      <c r="J465" s="42">
        <f>IFERROR(AVERAGE(Data!J470), "  ")</f>
        <v>78</v>
      </c>
      <c r="K465" s="44">
        <f>IFERROR(AVERAGE(Data!K470), "  ")</f>
        <v>0.21227621483375958</v>
      </c>
      <c r="L465" s="45">
        <f>IFERROR(AVERAGE(Data!L470), "  ")</f>
        <v>320</v>
      </c>
    </row>
    <row r="466" spans="1:12" x14ac:dyDescent="0.2">
      <c r="A466" s="43">
        <f>Data!A471</f>
        <v>41888</v>
      </c>
      <c r="B466" s="42">
        <f>IFERROR(AVERAGE(Data!B471), "  ")</f>
        <v>134</v>
      </c>
      <c r="C466" s="42">
        <f>IFERROR(AVERAGE(Data!C471), "  ")</f>
        <v>10</v>
      </c>
      <c r="D466" s="42">
        <f>IFERROR(AVERAGE(Data!D471), "  ")</f>
        <v>35</v>
      </c>
      <c r="E466" s="42">
        <f>IFERROR(AVERAGE(Data!E471), "  ")</f>
        <v>179</v>
      </c>
      <c r="F466" s="42">
        <f>IFERROR(AVERAGE(Data!F471), "  ")</f>
        <v>576</v>
      </c>
      <c r="G466" s="42">
        <f>IFERROR(AVERAGE(Data!G471), "  ")</f>
        <v>397</v>
      </c>
      <c r="H466" s="44">
        <f>IFERROR(AVERAGE(Data!H471), "  ")</f>
        <v>0.21518987341772153</v>
      </c>
      <c r="I466" s="44">
        <f>IFERROR(AVERAGE(Data!I471), "  ")</f>
        <v>-0.60831509846827136</v>
      </c>
      <c r="J466" s="42">
        <f>IFERROR(AVERAGE(Data!J471), "  ")</f>
        <v>-278</v>
      </c>
      <c r="K466" s="44">
        <f>IFERROR(AVERAGE(Data!K471), "  ")</f>
        <v>0.24675324675324675</v>
      </c>
      <c r="L466" s="45">
        <f>IFERROR(AVERAGE(Data!L471), "  ")</f>
        <v>450.33333333333331</v>
      </c>
    </row>
    <row r="467" spans="1:12" x14ac:dyDescent="0.2">
      <c r="A467" s="43">
        <f>Data!A472</f>
        <v>41895</v>
      </c>
      <c r="B467" s="42">
        <f>IFERROR(AVERAGE(Data!B472), "  ")</f>
        <v>105</v>
      </c>
      <c r="C467" s="42">
        <f>IFERROR(AVERAGE(Data!C472), "  ")</f>
        <v>13</v>
      </c>
      <c r="D467" s="42">
        <f>IFERROR(AVERAGE(Data!D472), "  ")</f>
        <v>41</v>
      </c>
      <c r="E467" s="42">
        <f>IFERROR(AVERAGE(Data!E472), "  ")</f>
        <v>159</v>
      </c>
      <c r="F467" s="42">
        <f>IFERROR(AVERAGE(Data!F472), "  ")</f>
        <v>638</v>
      </c>
      <c r="G467" s="42">
        <f>IFERROR(AVERAGE(Data!G472), "  ")</f>
        <v>479</v>
      </c>
      <c r="H467" s="44">
        <f>IFERROR(AVERAGE(Data!H472), "  ")</f>
        <v>0.1076388888888889</v>
      </c>
      <c r="I467" s="44">
        <f>IFERROR(AVERAGE(Data!I472), "  ")</f>
        <v>-0.11173184357541899</v>
      </c>
      <c r="J467" s="42">
        <f>IFERROR(AVERAGE(Data!J472), "  ")</f>
        <v>-20</v>
      </c>
      <c r="K467" s="44">
        <f>IFERROR(AVERAGE(Data!K472), "  ")</f>
        <v>0.21062618595825428</v>
      </c>
      <c r="L467" s="45">
        <f>IFERROR(AVERAGE(Data!L472), "  ")</f>
        <v>506.33333333333331</v>
      </c>
    </row>
    <row r="468" spans="1:12" x14ac:dyDescent="0.2">
      <c r="A468" s="43">
        <f>Data!A473</f>
        <v>41902</v>
      </c>
      <c r="B468" s="42">
        <f>IFERROR(AVERAGE(Data!B473), "  ")</f>
        <v>88</v>
      </c>
      <c r="C468" s="42">
        <f>IFERROR(AVERAGE(Data!C473), "  ")</f>
        <v>58</v>
      </c>
      <c r="D468" s="42">
        <f>IFERROR(AVERAGE(Data!D473), "  ")</f>
        <v>79</v>
      </c>
      <c r="E468" s="42">
        <f>IFERROR(AVERAGE(Data!E473), "  ")</f>
        <v>225</v>
      </c>
      <c r="F468" s="42">
        <f>IFERROR(AVERAGE(Data!F473), "  ")</f>
        <v>699</v>
      </c>
      <c r="G468" s="42">
        <f>IFERROR(AVERAGE(Data!G473), "  ")</f>
        <v>474</v>
      </c>
      <c r="H468" s="44">
        <f>IFERROR(AVERAGE(Data!H473), "  ")</f>
        <v>9.561128526645768E-2</v>
      </c>
      <c r="I468" s="44">
        <f>IFERROR(AVERAGE(Data!I473), "  ")</f>
        <v>0.41509433962264153</v>
      </c>
      <c r="J468" s="42">
        <f>IFERROR(AVERAGE(Data!J473), "  ")</f>
        <v>66</v>
      </c>
      <c r="K468" s="44">
        <f>IFERROR(AVERAGE(Data!K473), "  ")</f>
        <v>3.4023668639053255E-2</v>
      </c>
      <c r="L468" s="45">
        <f>IFERROR(AVERAGE(Data!L473), "  ")</f>
        <v>609.66666666666663</v>
      </c>
    </row>
    <row r="469" spans="1:12" x14ac:dyDescent="0.2">
      <c r="A469" s="43">
        <f>Data!A474</f>
        <v>41909</v>
      </c>
      <c r="B469" s="42">
        <f>IFERROR(AVERAGE(Data!B474), "  ")</f>
        <v>66</v>
      </c>
      <c r="C469" s="42">
        <f>IFERROR(AVERAGE(Data!C474), "  ")</f>
        <v>42</v>
      </c>
      <c r="D469" s="42">
        <f>IFERROR(AVERAGE(Data!D474), "  ")</f>
        <v>119</v>
      </c>
      <c r="E469" s="42">
        <f>IFERROR(AVERAGE(Data!E474), "  ")</f>
        <v>227</v>
      </c>
      <c r="F469" s="42">
        <f>IFERROR(AVERAGE(Data!F474), "  ")</f>
        <v>722</v>
      </c>
      <c r="G469" s="42">
        <f>IFERROR(AVERAGE(Data!G474), "  ")</f>
        <v>495</v>
      </c>
      <c r="H469" s="44">
        <f>IFERROR(AVERAGE(Data!H474), "  ")</f>
        <v>3.2904148783977114E-2</v>
      </c>
      <c r="I469" s="44">
        <f>IFERROR(AVERAGE(Data!I474), "  ")</f>
        <v>8.8888888888888889E-3</v>
      </c>
      <c r="J469" s="42">
        <f>IFERROR(AVERAGE(Data!J474), "  ")</f>
        <v>2</v>
      </c>
      <c r="K469" s="44">
        <f>IFERROR(AVERAGE(Data!K474), "  ")</f>
        <v>6.1764705882352944E-2</v>
      </c>
      <c r="L469" s="45">
        <f>IFERROR(AVERAGE(Data!L474), "  ")</f>
        <v>632</v>
      </c>
    </row>
    <row r="470" spans="1:12" x14ac:dyDescent="0.2">
      <c r="A470" s="43">
        <f>Data!A475</f>
        <v>41916</v>
      </c>
      <c r="B470" s="42">
        <f>IFERROR(AVERAGE(Data!B475), "  ")</f>
        <v>159</v>
      </c>
      <c r="C470" s="42">
        <f>IFERROR(AVERAGE(Data!C475), "  ")</f>
        <v>55</v>
      </c>
      <c r="D470" s="42">
        <f>IFERROR(AVERAGE(Data!D475), "  ")</f>
        <v>107</v>
      </c>
      <c r="E470" s="42">
        <f>IFERROR(AVERAGE(Data!E475), "  ")</f>
        <v>321</v>
      </c>
      <c r="F470" s="42">
        <f>IFERROR(AVERAGE(Data!F475), "  ")</f>
        <v>803</v>
      </c>
      <c r="G470" s="42">
        <f>IFERROR(AVERAGE(Data!G475), "  ")</f>
        <v>482</v>
      </c>
      <c r="H470" s="44">
        <f>IFERROR(AVERAGE(Data!H475), "  ")</f>
        <v>0.11218836565096953</v>
      </c>
      <c r="I470" s="44">
        <f>IFERROR(AVERAGE(Data!I475), "  ")</f>
        <v>0.41409691629955947</v>
      </c>
      <c r="J470" s="42">
        <f>IFERROR(AVERAGE(Data!J475), "  ")</f>
        <v>94</v>
      </c>
      <c r="K470" s="44">
        <f>IFERROR(AVERAGE(Data!K475), "  ")</f>
        <v>7.9301075268817203E-2</v>
      </c>
      <c r="L470" s="45">
        <f>IFERROR(AVERAGE(Data!L475), "  ")</f>
        <v>609.66666666666663</v>
      </c>
    </row>
    <row r="471" spans="1:12" x14ac:dyDescent="0.2">
      <c r="A471" s="43">
        <f>Data!A476</f>
        <v>41923</v>
      </c>
      <c r="B471" s="42">
        <f>IFERROR(AVERAGE(Data!B476), "  ")</f>
        <v>213</v>
      </c>
      <c r="C471" s="42">
        <f>IFERROR(AVERAGE(Data!C476), "  ")</f>
        <v>46</v>
      </c>
      <c r="D471" s="42">
        <f>IFERROR(AVERAGE(Data!D476), "  ")</f>
        <v>161</v>
      </c>
      <c r="E471" s="42">
        <f>IFERROR(AVERAGE(Data!E476), "  ")</f>
        <v>420</v>
      </c>
      <c r="F471" s="42">
        <f>IFERROR(AVERAGE(Data!F476), "  ")</f>
        <v>909</v>
      </c>
      <c r="G471" s="42">
        <f>IFERROR(AVERAGE(Data!G476), "  ")</f>
        <v>489</v>
      </c>
      <c r="H471" s="44">
        <f>IFERROR(AVERAGE(Data!H476), "  ")</f>
        <v>0.13200498132004981</v>
      </c>
      <c r="I471" s="44">
        <f>IFERROR(AVERAGE(Data!I476), "  ")</f>
        <v>0.30841121495327101</v>
      </c>
      <c r="J471" s="42">
        <f>IFERROR(AVERAGE(Data!J476), "  ")</f>
        <v>99</v>
      </c>
      <c r="K471" s="44">
        <f>IFERROR(AVERAGE(Data!K476), "  ")</f>
        <v>9.915356711003627E-2</v>
      </c>
      <c r="L471" s="45">
        <f>IFERROR(AVERAGE(Data!L476), "  ")</f>
        <v>686.66666666666663</v>
      </c>
    </row>
    <row r="472" spans="1:12" x14ac:dyDescent="0.2">
      <c r="A472" s="43">
        <f>Data!A477</f>
        <v>41930</v>
      </c>
      <c r="B472" s="42">
        <f>IFERROR(AVERAGE(Data!B477), "  ")</f>
        <v>207</v>
      </c>
      <c r="C472" s="42">
        <f>IFERROR(AVERAGE(Data!C477), "  ")</f>
        <v>35</v>
      </c>
      <c r="D472" s="42">
        <f>IFERROR(AVERAGE(Data!D477), "  ")</f>
        <v>139</v>
      </c>
      <c r="E472" s="42">
        <f>IFERROR(AVERAGE(Data!E477), "  ")</f>
        <v>381</v>
      </c>
      <c r="F472" s="42">
        <f>IFERROR(AVERAGE(Data!F477), "  ")</f>
        <v>909</v>
      </c>
      <c r="G472" s="42">
        <f>IFERROR(AVERAGE(Data!G477), "  ")</f>
        <v>528</v>
      </c>
      <c r="H472" s="44">
        <f>IFERROR(AVERAGE(Data!H477), "  ")</f>
        <v>0</v>
      </c>
      <c r="I472" s="44">
        <f>IFERROR(AVERAGE(Data!I477), "  ")</f>
        <v>-9.285714285714286E-2</v>
      </c>
      <c r="J472" s="42">
        <f>IFERROR(AVERAGE(Data!J477), "  ")</f>
        <v>-39</v>
      </c>
      <c r="K472" s="44">
        <f>IFERROR(AVERAGE(Data!K477), "  ")</f>
        <v>0.16538461538461538</v>
      </c>
      <c r="L472" s="45">
        <f>IFERROR(AVERAGE(Data!L477), "  ")</f>
        <v>739.66666666666663</v>
      </c>
    </row>
    <row r="473" spans="1:12" x14ac:dyDescent="0.2">
      <c r="A473" s="43">
        <f>Data!A478</f>
        <v>41937</v>
      </c>
      <c r="B473" s="42">
        <f>IFERROR(AVERAGE(Data!B478), "  ")</f>
        <v>347</v>
      </c>
      <c r="C473" s="42">
        <f>IFERROR(AVERAGE(Data!C478), "  ")</f>
        <v>33</v>
      </c>
      <c r="D473" s="42">
        <f>IFERROR(AVERAGE(Data!D478), "  ")</f>
        <v>92</v>
      </c>
      <c r="E473" s="42">
        <f>IFERROR(AVERAGE(Data!E478), "  ")</f>
        <v>472</v>
      </c>
      <c r="F473" s="42">
        <f>IFERROR(AVERAGE(Data!F478), "  ")</f>
        <v>858</v>
      </c>
      <c r="G473" s="42">
        <f>IFERROR(AVERAGE(Data!G478), "  ")</f>
        <v>386</v>
      </c>
      <c r="H473" s="44">
        <f>IFERROR(AVERAGE(Data!H478), "  ")</f>
        <v>-5.6105610561056105E-2</v>
      </c>
      <c r="I473" s="44">
        <f>IFERROR(AVERAGE(Data!I478), "  ")</f>
        <v>0.23884514435695539</v>
      </c>
      <c r="J473" s="42">
        <f>IFERROR(AVERAGE(Data!J478), "  ")</f>
        <v>91</v>
      </c>
      <c r="K473" s="44">
        <f>IFERROR(AVERAGE(Data!K478), "  ")</f>
        <v>5.5350553505535055E-2</v>
      </c>
      <c r="L473" s="45">
        <f>IFERROR(AVERAGE(Data!L478), "  ")</f>
        <v>783</v>
      </c>
    </row>
    <row r="474" spans="1:12" x14ac:dyDescent="0.2">
      <c r="A474" s="43">
        <f>Data!A479</f>
        <v>41944</v>
      </c>
      <c r="B474" s="42">
        <f>IFERROR(AVERAGE(Data!B479), "  ")</f>
        <v>308</v>
      </c>
      <c r="C474" s="42">
        <f>IFERROR(AVERAGE(Data!C479), "  ")</f>
        <v>44</v>
      </c>
      <c r="D474" s="42">
        <f>IFERROR(AVERAGE(Data!D479), "  ")</f>
        <v>184</v>
      </c>
      <c r="E474" s="42">
        <f>IFERROR(AVERAGE(Data!E479), "  ")</f>
        <v>536</v>
      </c>
      <c r="F474" s="42">
        <f>IFERROR(AVERAGE(Data!F479), "  ")</f>
        <v>882</v>
      </c>
      <c r="G474" s="42">
        <f>IFERROR(AVERAGE(Data!G479), "  ")</f>
        <v>346</v>
      </c>
      <c r="H474" s="44">
        <f>IFERROR(AVERAGE(Data!H479), "  ")</f>
        <v>2.7972027972027972E-2</v>
      </c>
      <c r="I474" s="44">
        <f>IFERROR(AVERAGE(Data!I479), "  ")</f>
        <v>0.13559322033898305</v>
      </c>
      <c r="J474" s="42">
        <f>IFERROR(AVERAGE(Data!J479), "  ")</f>
        <v>64</v>
      </c>
      <c r="K474" s="44">
        <f>IFERROR(AVERAGE(Data!K479), "  ")</f>
        <v>-4.2345276872964167E-2</v>
      </c>
      <c r="L474" s="45">
        <f>IFERROR(AVERAGE(Data!L479), "  ")</f>
        <v>829.33333333333337</v>
      </c>
    </row>
    <row r="475" spans="1:12" x14ac:dyDescent="0.2">
      <c r="A475" s="43">
        <f>Data!A480</f>
        <v>41951</v>
      </c>
      <c r="B475" s="42">
        <f>IFERROR(AVERAGE(Data!B480), "  ")</f>
        <v>402</v>
      </c>
      <c r="C475" s="42">
        <f>IFERROR(AVERAGE(Data!C480), "  ")</f>
        <v>46</v>
      </c>
      <c r="D475" s="42">
        <f>IFERROR(AVERAGE(Data!D480), "  ")</f>
        <v>216</v>
      </c>
      <c r="E475" s="42">
        <f>IFERROR(AVERAGE(Data!E480), "  ")</f>
        <v>664</v>
      </c>
      <c r="F475" s="42">
        <f>IFERROR(AVERAGE(Data!F480), "  ")</f>
        <v>976</v>
      </c>
      <c r="G475" s="42">
        <f>IFERROR(AVERAGE(Data!G480), "  ")</f>
        <v>312</v>
      </c>
      <c r="H475" s="44">
        <f>IFERROR(AVERAGE(Data!H480), "  ")</f>
        <v>0.10657596371882086</v>
      </c>
      <c r="I475" s="44">
        <f>IFERROR(AVERAGE(Data!I480), "  ")</f>
        <v>0.23880597014925373</v>
      </c>
      <c r="J475" s="42">
        <f>IFERROR(AVERAGE(Data!J480), "  ")</f>
        <v>128</v>
      </c>
      <c r="K475" s="44">
        <f>IFERROR(AVERAGE(Data!K480), "  ")</f>
        <v>4.4967880085653104E-2</v>
      </c>
      <c r="L475" s="45">
        <f>IFERROR(AVERAGE(Data!L480), "  ")</f>
        <v>843</v>
      </c>
    </row>
    <row r="476" spans="1:12" x14ac:dyDescent="0.2">
      <c r="A476" s="43">
        <f>Data!A481</f>
        <v>41958</v>
      </c>
      <c r="B476" s="42">
        <f>IFERROR(AVERAGE(Data!B481), "  ")</f>
        <v>366</v>
      </c>
      <c r="C476" s="42">
        <f>IFERROR(AVERAGE(Data!C481), "  ")</f>
        <v>70</v>
      </c>
      <c r="D476" s="42">
        <f>IFERROR(AVERAGE(Data!D481), "  ")</f>
        <v>238</v>
      </c>
      <c r="E476" s="42">
        <f>IFERROR(AVERAGE(Data!E481), "  ")</f>
        <v>674</v>
      </c>
      <c r="F476" s="42">
        <f>IFERROR(AVERAGE(Data!F481), "  ")</f>
        <v>1019</v>
      </c>
      <c r="G476" s="42">
        <f>IFERROR(AVERAGE(Data!G481), "  ")</f>
        <v>345</v>
      </c>
      <c r="H476" s="44">
        <f>IFERROR(AVERAGE(Data!H481), "  ")</f>
        <v>4.4057377049180328E-2</v>
      </c>
      <c r="I476" s="44">
        <f>IFERROR(AVERAGE(Data!I481), "  ")</f>
        <v>1.5060240963855422E-2</v>
      </c>
      <c r="J476" s="42">
        <f>IFERROR(AVERAGE(Data!J481), "  ")</f>
        <v>10</v>
      </c>
      <c r="K476" s="44">
        <f>IFERROR(AVERAGE(Data!K481), "  ")</f>
        <v>7.6029567053854274E-2</v>
      </c>
      <c r="L476" s="45">
        <f>IFERROR(AVERAGE(Data!L481), "  ")</f>
        <v>897.33333333333337</v>
      </c>
    </row>
    <row r="477" spans="1:12" x14ac:dyDescent="0.2">
      <c r="A477" s="43">
        <f>Data!A482</f>
        <v>41965</v>
      </c>
      <c r="B477" s="42">
        <f>IFERROR(AVERAGE(Data!B482), "  ")</f>
        <v>344</v>
      </c>
      <c r="C477" s="42">
        <f>IFERROR(AVERAGE(Data!C482), "  ")</f>
        <v>31</v>
      </c>
      <c r="D477" s="42">
        <f>IFERROR(AVERAGE(Data!D482), "  ")</f>
        <v>234</v>
      </c>
      <c r="E477" s="42">
        <f>IFERROR(AVERAGE(Data!E482), "  ")</f>
        <v>609</v>
      </c>
      <c r="F477" s="42">
        <f>IFERROR(AVERAGE(Data!F482), "  ")</f>
        <v>948</v>
      </c>
      <c r="G477" s="42">
        <f>IFERROR(AVERAGE(Data!G482), "  ")</f>
        <v>339</v>
      </c>
      <c r="H477" s="44">
        <f>IFERROR(AVERAGE(Data!H482), "  ")</f>
        <v>-6.9676153091265944E-2</v>
      </c>
      <c r="I477" s="44">
        <f>IFERROR(AVERAGE(Data!I482), "  ")</f>
        <v>-9.6439169139465875E-2</v>
      </c>
      <c r="J477" s="42">
        <f>IFERROR(AVERAGE(Data!J482), "  ")</f>
        <v>-65</v>
      </c>
      <c r="K477" s="44">
        <f>IFERROR(AVERAGE(Data!K482), "  ")</f>
        <v>4.5203969128996692E-2</v>
      </c>
      <c r="L477" s="45">
        <f>IFERROR(AVERAGE(Data!L482), "  ")</f>
        <v>743</v>
      </c>
    </row>
    <row r="478" spans="1:12" x14ac:dyDescent="0.2">
      <c r="A478" s="43">
        <f>Data!A483</f>
        <v>41972</v>
      </c>
      <c r="B478" s="42">
        <f>IFERROR(AVERAGE(Data!B483), "  ")</f>
        <v>356</v>
      </c>
      <c r="C478" s="42">
        <f>IFERROR(AVERAGE(Data!C483), "  ")</f>
        <v>73</v>
      </c>
      <c r="D478" s="42">
        <f>IFERROR(AVERAGE(Data!D483), "  ")</f>
        <v>167</v>
      </c>
      <c r="E478" s="42">
        <f>IFERROR(AVERAGE(Data!E483), "  ")</f>
        <v>596</v>
      </c>
      <c r="F478" s="42">
        <f>IFERROR(AVERAGE(Data!F483), "  ")</f>
        <v>915</v>
      </c>
      <c r="G478" s="42">
        <f>IFERROR(AVERAGE(Data!G483), "  ")</f>
        <v>319</v>
      </c>
      <c r="H478" s="44">
        <f>IFERROR(AVERAGE(Data!H483), "  ")</f>
        <v>-3.4810126582278479E-2</v>
      </c>
      <c r="I478" s="44">
        <f>IFERROR(AVERAGE(Data!I483), "  ")</f>
        <v>-2.1346469622331693E-2</v>
      </c>
      <c r="J478" s="42">
        <f>IFERROR(AVERAGE(Data!J483), "  ")</f>
        <v>-13</v>
      </c>
      <c r="K478" s="44">
        <f>IFERROR(AVERAGE(Data!K483), "  ")</f>
        <v>9.0584028605482717E-2</v>
      </c>
      <c r="L478" s="45">
        <f>IFERROR(AVERAGE(Data!L483), "  ")</f>
        <v>729.33333333333337</v>
      </c>
    </row>
    <row r="479" spans="1:12" x14ac:dyDescent="0.2">
      <c r="A479" s="43">
        <f>Data!A484</f>
        <v>41979</v>
      </c>
      <c r="B479" s="42">
        <f>IFERROR(AVERAGE(Data!B484), "  ")</f>
        <v>390</v>
      </c>
      <c r="C479" s="42">
        <f>IFERROR(AVERAGE(Data!C484), "  ")</f>
        <v>31</v>
      </c>
      <c r="D479" s="42">
        <f>IFERROR(AVERAGE(Data!D484), "  ")</f>
        <v>130</v>
      </c>
      <c r="E479" s="42">
        <f>IFERROR(AVERAGE(Data!E484), "  ")</f>
        <v>551</v>
      </c>
      <c r="F479" s="42">
        <f>IFERROR(AVERAGE(Data!F484), "  ")</f>
        <v>777</v>
      </c>
      <c r="G479" s="42">
        <f>IFERROR(AVERAGE(Data!G484), "  ")</f>
        <v>226</v>
      </c>
      <c r="H479" s="44">
        <f>IFERROR(AVERAGE(Data!H484), "  ")</f>
        <v>-0.15081967213114755</v>
      </c>
      <c r="I479" s="44">
        <f>IFERROR(AVERAGE(Data!I484), "  ")</f>
        <v>-7.5503355704697989E-2</v>
      </c>
      <c r="J479" s="42">
        <f>IFERROR(AVERAGE(Data!J484), "  ")</f>
        <v>-45</v>
      </c>
      <c r="K479" s="44">
        <f>IFERROR(AVERAGE(Data!K484), "  ")</f>
        <v>-0.15174672489082969</v>
      </c>
      <c r="L479" s="45">
        <f>IFERROR(AVERAGE(Data!L484), "  ")</f>
        <v>740</v>
      </c>
    </row>
    <row r="480" spans="1:12" x14ac:dyDescent="0.2">
      <c r="A480" s="43">
        <f>Data!A485</f>
        <v>41986</v>
      </c>
      <c r="B480" s="42">
        <f>IFERROR(AVERAGE(Data!B485), "  ")</f>
        <v>412</v>
      </c>
      <c r="C480" s="42">
        <f>IFERROR(AVERAGE(Data!C485), "  ")</f>
        <v>69</v>
      </c>
      <c r="D480" s="42">
        <f>IFERROR(AVERAGE(Data!D485), "  ")</f>
        <v>184</v>
      </c>
      <c r="E480" s="42">
        <f>IFERROR(AVERAGE(Data!E485), "  ")</f>
        <v>665</v>
      </c>
      <c r="F480" s="42">
        <f>IFERROR(AVERAGE(Data!F485), "  ")</f>
        <v>967</v>
      </c>
      <c r="G480" s="42">
        <f>IFERROR(AVERAGE(Data!G485), "  ")</f>
        <v>302</v>
      </c>
      <c r="H480" s="44">
        <f>IFERROR(AVERAGE(Data!H485), "  ")</f>
        <v>0.24453024453024452</v>
      </c>
      <c r="I480" s="44">
        <f>IFERROR(AVERAGE(Data!I485), "  ")</f>
        <v>0.20689655172413793</v>
      </c>
      <c r="J480" s="42">
        <f>IFERROR(AVERAGE(Data!J485), "  ")</f>
        <v>114</v>
      </c>
      <c r="K480" s="44">
        <f>IFERROR(AVERAGE(Data!K485), "  ")</f>
        <v>0.21177944862155387</v>
      </c>
      <c r="L480" s="45">
        <f>IFERROR(AVERAGE(Data!L485), "  ")</f>
        <v>696.33333333333337</v>
      </c>
    </row>
    <row r="481" spans="1:12" x14ac:dyDescent="0.2">
      <c r="A481" s="43">
        <f>Data!A486</f>
        <v>41993</v>
      </c>
      <c r="B481" s="42">
        <f>IFERROR(AVERAGE(Data!B486), "  ")</f>
        <v>304</v>
      </c>
      <c r="C481" s="42">
        <f>IFERROR(AVERAGE(Data!C486), "  ")</f>
        <v>26</v>
      </c>
      <c r="D481" s="42">
        <f>IFERROR(AVERAGE(Data!D486), "  ")</f>
        <v>212</v>
      </c>
      <c r="E481" s="42">
        <f>IFERROR(AVERAGE(Data!E486), "  ")</f>
        <v>542</v>
      </c>
      <c r="F481" s="42">
        <f>IFERROR(AVERAGE(Data!F486), "  ")</f>
        <v>926</v>
      </c>
      <c r="G481" s="42">
        <f>IFERROR(AVERAGE(Data!G486), "  ")</f>
        <v>384</v>
      </c>
      <c r="H481" s="44">
        <f>IFERROR(AVERAGE(Data!H486), "  ")</f>
        <v>-4.2399172699069287E-2</v>
      </c>
      <c r="I481" s="44">
        <f>IFERROR(AVERAGE(Data!I486), "  ")</f>
        <v>-0.18496240601503761</v>
      </c>
      <c r="J481" s="42">
        <f>IFERROR(AVERAGE(Data!J486), "  ")</f>
        <v>-123</v>
      </c>
      <c r="K481" s="44">
        <f>IFERROR(AVERAGE(Data!K486), "  ")</f>
        <v>6.3145809414466125E-2</v>
      </c>
      <c r="L481" s="45">
        <f>IFERROR(AVERAGE(Data!L486), "  ")</f>
        <v>752.33333333333337</v>
      </c>
    </row>
    <row r="482" spans="1:12" x14ac:dyDescent="0.2">
      <c r="A482" s="43">
        <f>Data!A487</f>
        <v>42000</v>
      </c>
      <c r="B482" s="42">
        <f>IFERROR(AVERAGE(Data!B487), "  ")</f>
        <v>186</v>
      </c>
      <c r="C482" s="42">
        <f>IFERROR(AVERAGE(Data!C487), "  ")</f>
        <v>56</v>
      </c>
      <c r="D482" s="42">
        <f>IFERROR(AVERAGE(Data!D487), "  ")</f>
        <v>142</v>
      </c>
      <c r="E482" s="42">
        <f>IFERROR(AVERAGE(Data!E487), "  ")</f>
        <v>384</v>
      </c>
      <c r="F482" s="42">
        <f>IFERROR(AVERAGE(Data!F487), "  ")</f>
        <v>479</v>
      </c>
      <c r="G482" s="42">
        <f>IFERROR(AVERAGE(Data!G487), "  ")</f>
        <v>95</v>
      </c>
      <c r="H482" s="44">
        <f>IFERROR(AVERAGE(Data!H487), "  ")</f>
        <v>-0.48272138228941686</v>
      </c>
      <c r="I482" s="44">
        <f>IFERROR(AVERAGE(Data!I487), "  ")</f>
        <v>-0.29151291512915128</v>
      </c>
      <c r="J482" s="42">
        <f>IFERROR(AVERAGE(Data!J487), "  ")</f>
        <v>-158</v>
      </c>
      <c r="K482" s="44">
        <f>IFERROR(AVERAGE(Data!K487), "  ")</f>
        <v>-0.28614008941877794</v>
      </c>
      <c r="L482" s="45">
        <f>IFERROR(AVERAGE(Data!L487), "  ")</f>
        <v>607.66666666666663</v>
      </c>
    </row>
    <row r="483" spans="1:12" x14ac:dyDescent="0.2">
      <c r="A483" s="43">
        <f>Data!A488</f>
        <v>42007</v>
      </c>
      <c r="B483" s="42">
        <f>IFERROR(AVERAGE(Data!B488), "  ")</f>
        <v>138</v>
      </c>
      <c r="C483" s="42">
        <f>IFERROR(AVERAGE(Data!C488), "  ")</f>
        <v>28</v>
      </c>
      <c r="D483" s="42">
        <f>IFERROR(AVERAGE(Data!D488), "  ")</f>
        <v>123</v>
      </c>
      <c r="E483" s="42">
        <f>IFERROR(AVERAGE(Data!E488), "  ")</f>
        <v>289</v>
      </c>
      <c r="F483" s="42">
        <f>IFERROR(AVERAGE(Data!F488), "  ")</f>
        <v>618</v>
      </c>
      <c r="G483" s="42">
        <f>IFERROR(AVERAGE(Data!G488), "  ")</f>
        <v>329</v>
      </c>
      <c r="H483" s="44">
        <f>IFERROR(AVERAGE(Data!H488), "  ")</f>
        <v>0.29018789144050106</v>
      </c>
      <c r="I483" s="44">
        <f>IFERROR(AVERAGE(Data!I488), "  ")</f>
        <v>-0.24739583333333334</v>
      </c>
      <c r="J483" s="42">
        <f>IFERROR(AVERAGE(Data!J488), "  ")</f>
        <v>-95</v>
      </c>
      <c r="K483" s="44">
        <f>IFERROR(AVERAGE(Data!K488), "  ")</f>
        <v>-0.24078624078624078</v>
      </c>
      <c r="L483" s="45">
        <f>IFERROR(AVERAGE(Data!L488), "  ")</f>
        <v>640.66666666666663</v>
      </c>
    </row>
    <row r="484" spans="1:12" x14ac:dyDescent="0.2">
      <c r="A484" s="43">
        <f>Data!A489</f>
        <v>42014</v>
      </c>
      <c r="B484" s="42">
        <f>IFERROR(AVERAGE(Data!B489), "  ")</f>
        <v>125</v>
      </c>
      <c r="C484" s="42">
        <f>IFERROR(AVERAGE(Data!C489), "  ")</f>
        <v>23</v>
      </c>
      <c r="D484" s="42">
        <f>IFERROR(AVERAGE(Data!D489), "  ")</f>
        <v>203</v>
      </c>
      <c r="E484" s="42">
        <f>IFERROR(AVERAGE(Data!E489), "  ")</f>
        <v>351</v>
      </c>
      <c r="F484" s="42">
        <f>IFERROR(AVERAGE(Data!F489), "  ")</f>
        <v>970</v>
      </c>
      <c r="G484" s="42">
        <f>IFERROR(AVERAGE(Data!G489), "  ")</f>
        <v>619</v>
      </c>
      <c r="H484" s="44">
        <f>IFERROR(AVERAGE(Data!H489), "  ")</f>
        <v>0.56957928802588997</v>
      </c>
      <c r="I484" s="44">
        <f>IFERROR(AVERAGE(Data!I489), "  ")</f>
        <v>0.21453287197231835</v>
      </c>
      <c r="J484" s="42">
        <f>IFERROR(AVERAGE(Data!J489), "  ")</f>
        <v>62</v>
      </c>
      <c r="K484" s="44">
        <f>IFERROR(AVERAGE(Data!K489), "  ")</f>
        <v>0.29506008010680906</v>
      </c>
      <c r="L484" s="45">
        <f>IFERROR(AVERAGE(Data!L489), "  ")</f>
        <v>699.33333333333337</v>
      </c>
    </row>
    <row r="485" spans="1:12" x14ac:dyDescent="0.2">
      <c r="A485" s="43">
        <f>Data!A490</f>
        <v>42021</v>
      </c>
      <c r="B485" s="42">
        <f>IFERROR(AVERAGE(Data!B490), "  ")</f>
        <v>67</v>
      </c>
      <c r="C485" s="42">
        <f>IFERROR(AVERAGE(Data!C490), "  ")</f>
        <v>19</v>
      </c>
      <c r="D485" s="42">
        <f>IFERROR(AVERAGE(Data!D490), "  ")</f>
        <v>197</v>
      </c>
      <c r="E485" s="42">
        <f>IFERROR(AVERAGE(Data!E490), "  ")</f>
        <v>283</v>
      </c>
      <c r="F485" s="42">
        <f>IFERROR(AVERAGE(Data!F490), "  ")</f>
        <v>851</v>
      </c>
      <c r="G485" s="42">
        <f>IFERROR(AVERAGE(Data!G490), "  ")</f>
        <v>568</v>
      </c>
      <c r="H485" s="44">
        <f>IFERROR(AVERAGE(Data!H490), "  ")</f>
        <v>-0.12268041237113401</v>
      </c>
      <c r="I485" s="44">
        <f>IFERROR(AVERAGE(Data!I490), "  ")</f>
        <v>-0.19373219373219372</v>
      </c>
      <c r="J485" s="42">
        <f>IFERROR(AVERAGE(Data!J490), "  ")</f>
        <v>-68</v>
      </c>
      <c r="K485" s="44">
        <f>IFERROR(AVERAGE(Data!K490), "  ")</f>
        <v>-4.1666666666666664E-2</v>
      </c>
      <c r="L485" s="45">
        <f>IFERROR(AVERAGE(Data!L490), "  ")</f>
        <v>744</v>
      </c>
    </row>
    <row r="486" spans="1:12" x14ac:dyDescent="0.2">
      <c r="A486" s="43">
        <f>Data!A491</f>
        <v>42028</v>
      </c>
      <c r="B486" s="42">
        <f>IFERROR(AVERAGE(Data!B491), "  ")</f>
        <v>97</v>
      </c>
      <c r="C486" s="42">
        <f>IFERROR(AVERAGE(Data!C491), "  ")</f>
        <v>36</v>
      </c>
      <c r="D486" s="42">
        <f>IFERROR(AVERAGE(Data!D491), "  ")</f>
        <v>204</v>
      </c>
      <c r="E486" s="42">
        <f>IFERROR(AVERAGE(Data!E491), "  ")</f>
        <v>337</v>
      </c>
      <c r="F486" s="42">
        <f>IFERROR(AVERAGE(Data!F491), "  ")</f>
        <v>800</v>
      </c>
      <c r="G486" s="42">
        <f>IFERROR(AVERAGE(Data!G491), "  ")</f>
        <v>463</v>
      </c>
      <c r="H486" s="44">
        <f>IFERROR(AVERAGE(Data!H491), "  ")</f>
        <v>-5.9929494712103411E-2</v>
      </c>
      <c r="I486" s="44">
        <f>IFERROR(AVERAGE(Data!I491), "  ")</f>
        <v>0.19081272084805653</v>
      </c>
      <c r="J486" s="42">
        <f>IFERROR(AVERAGE(Data!J491), "  ")</f>
        <v>54</v>
      </c>
      <c r="K486" s="44">
        <f>IFERROR(AVERAGE(Data!K491), "  ")</f>
        <v>3.7613488975356678E-2</v>
      </c>
      <c r="L486" s="45">
        <f>IFERROR(AVERAGE(Data!L491), "  ")</f>
        <v>735.66666666666663</v>
      </c>
    </row>
    <row r="487" spans="1:12" x14ac:dyDescent="0.2">
      <c r="A487" s="43">
        <f>Data!A492</f>
        <v>42035</v>
      </c>
      <c r="B487" s="42">
        <f>IFERROR(AVERAGE(Data!B492), "  ")</f>
        <v>160</v>
      </c>
      <c r="C487" s="42">
        <f>IFERROR(AVERAGE(Data!C492), "  ")</f>
        <v>32</v>
      </c>
      <c r="D487" s="42">
        <f>IFERROR(AVERAGE(Data!D492), "  ")</f>
        <v>240</v>
      </c>
      <c r="E487" s="42">
        <f>IFERROR(AVERAGE(Data!E492), "  ")</f>
        <v>432</v>
      </c>
      <c r="F487" s="42">
        <f>IFERROR(AVERAGE(Data!F492), "  ")</f>
        <v>787</v>
      </c>
      <c r="G487" s="42">
        <f>IFERROR(AVERAGE(Data!G492), "  ")</f>
        <v>355</v>
      </c>
      <c r="H487" s="44">
        <f>IFERROR(AVERAGE(Data!H492), "  ")</f>
        <v>-1.6250000000000001E-2</v>
      </c>
      <c r="I487" s="44">
        <f>IFERROR(AVERAGE(Data!I492), "  ")</f>
        <v>0.28189910979228489</v>
      </c>
      <c r="J487" s="42">
        <f>IFERROR(AVERAGE(Data!J492), "  ")</f>
        <v>95</v>
      </c>
      <c r="K487" s="44">
        <f>IFERROR(AVERAGE(Data!K492), "  ")</f>
        <v>0.15395894428152493</v>
      </c>
      <c r="L487" s="45">
        <f>IFERROR(AVERAGE(Data!L492), "  ")</f>
        <v>617.33333333333337</v>
      </c>
    </row>
    <row r="488" spans="1:12" x14ac:dyDescent="0.2">
      <c r="A488" s="43">
        <f>Data!A493</f>
        <v>42042</v>
      </c>
      <c r="B488" s="42">
        <f>IFERROR(AVERAGE(Data!B493), "  ")</f>
        <v>118</v>
      </c>
      <c r="C488" s="42">
        <f>IFERROR(AVERAGE(Data!C493), "  ")</f>
        <v>33</v>
      </c>
      <c r="D488" s="42">
        <f>IFERROR(AVERAGE(Data!D493), "  ")</f>
        <v>216</v>
      </c>
      <c r="E488" s="42">
        <f>IFERROR(AVERAGE(Data!E493), "  ")</f>
        <v>367</v>
      </c>
      <c r="F488" s="42">
        <f>IFERROR(AVERAGE(Data!F493), "  ")</f>
        <v>808</v>
      </c>
      <c r="G488" s="42">
        <f>IFERROR(AVERAGE(Data!G493), "  ")</f>
        <v>441</v>
      </c>
      <c r="H488" s="44">
        <f>IFERROR(AVERAGE(Data!H493), "  ")</f>
        <v>2.6683608640406607E-2</v>
      </c>
      <c r="I488" s="44">
        <f>IFERROR(AVERAGE(Data!I493), "  ")</f>
        <v>-0.15046296296296297</v>
      </c>
      <c r="J488" s="42">
        <f>IFERROR(AVERAGE(Data!J493), "  ")</f>
        <v>-65</v>
      </c>
      <c r="K488" s="44">
        <f>IFERROR(AVERAGE(Data!K493), "  ")</f>
        <v>4.3927648578811367E-2</v>
      </c>
      <c r="L488" s="45">
        <f>IFERROR(AVERAGE(Data!L493), "  ")</f>
        <v>672.66666666666663</v>
      </c>
    </row>
    <row r="489" spans="1:12" x14ac:dyDescent="0.2">
      <c r="A489" s="43">
        <f>Data!A494</f>
        <v>42049</v>
      </c>
      <c r="B489" s="42">
        <f>IFERROR(AVERAGE(Data!B494), "  ")</f>
        <v>148</v>
      </c>
      <c r="C489" s="42">
        <f>IFERROR(AVERAGE(Data!C494), "  ")</f>
        <v>40</v>
      </c>
      <c r="D489" s="42">
        <f>IFERROR(AVERAGE(Data!D494), "  ")</f>
        <v>236</v>
      </c>
      <c r="E489" s="42">
        <f>IFERROR(AVERAGE(Data!E494), "  ")</f>
        <v>424</v>
      </c>
      <c r="F489" s="42">
        <f>IFERROR(AVERAGE(Data!F494), "  ")</f>
        <v>855</v>
      </c>
      <c r="G489" s="42">
        <f>IFERROR(AVERAGE(Data!G494), "  ")</f>
        <v>431</v>
      </c>
      <c r="H489" s="44">
        <f>IFERROR(AVERAGE(Data!H494), "  ")</f>
        <v>5.8168316831683171E-2</v>
      </c>
      <c r="I489" s="44">
        <f>IFERROR(AVERAGE(Data!I494), "  ")</f>
        <v>0.15531335149863759</v>
      </c>
      <c r="J489" s="42">
        <f>IFERROR(AVERAGE(Data!J494), "  ")</f>
        <v>57</v>
      </c>
      <c r="K489" s="44">
        <f>IFERROR(AVERAGE(Data!K494), "  ")</f>
        <v>0.15696887686062247</v>
      </c>
      <c r="L489" s="45">
        <f>IFERROR(AVERAGE(Data!L494), "  ")</f>
        <v>612.66666666666663</v>
      </c>
    </row>
    <row r="490" spans="1:12" x14ac:dyDescent="0.2">
      <c r="A490" s="43">
        <f>Data!A495</f>
        <v>42056</v>
      </c>
      <c r="B490" s="42">
        <f>IFERROR(AVERAGE(Data!B495), "  ")</f>
        <v>112</v>
      </c>
      <c r="C490" s="42">
        <f>IFERROR(AVERAGE(Data!C495), "  ")</f>
        <v>24</v>
      </c>
      <c r="D490" s="42">
        <f>IFERROR(AVERAGE(Data!D495), "  ")</f>
        <v>179</v>
      </c>
      <c r="E490" s="42">
        <f>IFERROR(AVERAGE(Data!E495), "  ")</f>
        <v>315</v>
      </c>
      <c r="F490" s="42">
        <f>IFERROR(AVERAGE(Data!F495), "  ")</f>
        <v>692</v>
      </c>
      <c r="G490" s="42">
        <f>IFERROR(AVERAGE(Data!G495), "  ")</f>
        <v>377</v>
      </c>
      <c r="H490" s="44">
        <f>IFERROR(AVERAGE(Data!H495), "  ")</f>
        <v>-0.19064327485380117</v>
      </c>
      <c r="I490" s="44">
        <f>IFERROR(AVERAGE(Data!I495), "  ")</f>
        <v>-0.25707547169811323</v>
      </c>
      <c r="J490" s="42">
        <f>IFERROR(AVERAGE(Data!J495), "  ")</f>
        <v>-109</v>
      </c>
      <c r="K490" s="44">
        <f>IFERROR(AVERAGE(Data!K495), "  ")</f>
        <v>-0.15506715506715507</v>
      </c>
      <c r="L490" s="45">
        <f>IFERROR(AVERAGE(Data!L495), "  ")</f>
        <v>657</v>
      </c>
    </row>
    <row r="491" spans="1:12" x14ac:dyDescent="0.2">
      <c r="A491" s="43">
        <f>Data!A496</f>
        <v>42063</v>
      </c>
      <c r="B491" s="42">
        <f>IFERROR(AVERAGE(Data!B496), "  ")</f>
        <v>129</v>
      </c>
      <c r="C491" s="42">
        <f>IFERROR(AVERAGE(Data!C496), "  ")</f>
        <v>23</v>
      </c>
      <c r="D491" s="42">
        <f>IFERROR(AVERAGE(Data!D496), "  ")</f>
        <v>117</v>
      </c>
      <c r="E491" s="42">
        <f>IFERROR(AVERAGE(Data!E496), "  ")</f>
        <v>269</v>
      </c>
      <c r="F491" s="42">
        <f>IFERROR(AVERAGE(Data!F496), "  ")</f>
        <v>732</v>
      </c>
      <c r="G491" s="42">
        <f>IFERROR(AVERAGE(Data!G496), "  ")</f>
        <v>463</v>
      </c>
      <c r="H491" s="44">
        <f>IFERROR(AVERAGE(Data!H496), "  ")</f>
        <v>5.7803468208092484E-2</v>
      </c>
      <c r="I491" s="44">
        <f>IFERROR(AVERAGE(Data!I496), "  ")</f>
        <v>-0.14603174603174604</v>
      </c>
      <c r="J491" s="42">
        <f>IFERROR(AVERAGE(Data!J496), "  ")</f>
        <v>-46</v>
      </c>
      <c r="K491" s="44">
        <f>IFERROR(AVERAGE(Data!K496), "  ")</f>
        <v>4.1251778093883355E-2</v>
      </c>
      <c r="L491" s="45">
        <f>IFERROR(AVERAGE(Data!L496), "  ")</f>
        <v>599.66666666666663</v>
      </c>
    </row>
    <row r="492" spans="1:12" x14ac:dyDescent="0.2">
      <c r="A492" s="43">
        <f>Data!A497</f>
        <v>42070</v>
      </c>
      <c r="B492" s="42">
        <f>IFERROR(AVERAGE(Data!B497), "  ")</f>
        <v>148</v>
      </c>
      <c r="C492" s="42">
        <f>IFERROR(AVERAGE(Data!C497), "  ")</f>
        <v>27</v>
      </c>
      <c r="D492" s="42">
        <f>IFERROR(AVERAGE(Data!D497), "  ")</f>
        <v>144</v>
      </c>
      <c r="E492" s="42">
        <f>IFERROR(AVERAGE(Data!E497), "  ")</f>
        <v>319</v>
      </c>
      <c r="F492" s="42">
        <f>IFERROR(AVERAGE(Data!F497), "  ")</f>
        <v>521</v>
      </c>
      <c r="G492" s="42">
        <f>IFERROR(AVERAGE(Data!G497), "  ")</f>
        <v>202</v>
      </c>
      <c r="H492" s="44">
        <f>IFERROR(AVERAGE(Data!H497), "  ")</f>
        <v>-0.28825136612021857</v>
      </c>
      <c r="I492" s="44">
        <f>IFERROR(AVERAGE(Data!I497), "  ")</f>
        <v>0.18587360594795538</v>
      </c>
      <c r="J492" s="42">
        <f>IFERROR(AVERAGE(Data!J497), "  ")</f>
        <v>50</v>
      </c>
      <c r="K492" s="44">
        <f>IFERROR(AVERAGE(Data!K497), "  ")</f>
        <v>-0.24602026049204051</v>
      </c>
      <c r="L492" s="45">
        <f>IFERROR(AVERAGE(Data!L497), "  ")</f>
        <v>521.33333333333337</v>
      </c>
    </row>
    <row r="493" spans="1:12" x14ac:dyDescent="0.2">
      <c r="A493" s="43">
        <f>Data!A498</f>
        <v>42077</v>
      </c>
      <c r="B493" s="42">
        <f>IFERROR(AVERAGE(Data!B498), "  ")</f>
        <v>150</v>
      </c>
      <c r="C493" s="42">
        <f>IFERROR(AVERAGE(Data!C498), "  ")</f>
        <v>32</v>
      </c>
      <c r="D493" s="42">
        <f>IFERROR(AVERAGE(Data!D498), "  ")</f>
        <v>58</v>
      </c>
      <c r="E493" s="42">
        <f>IFERROR(AVERAGE(Data!E498), "  ")</f>
        <v>240</v>
      </c>
      <c r="F493" s="42">
        <f>IFERROR(AVERAGE(Data!F498), "  ")</f>
        <v>537</v>
      </c>
      <c r="G493" s="42">
        <f>IFERROR(AVERAGE(Data!G498), "  ")</f>
        <v>297</v>
      </c>
      <c r="H493" s="44">
        <f>IFERROR(AVERAGE(Data!H498), "  ")</f>
        <v>3.0710172744721688E-2</v>
      </c>
      <c r="I493" s="44">
        <f>IFERROR(AVERAGE(Data!I498), "  ")</f>
        <v>-0.2476489028213166</v>
      </c>
      <c r="J493" s="42">
        <f>IFERROR(AVERAGE(Data!J498), "  ")</f>
        <v>-79</v>
      </c>
      <c r="K493" s="44">
        <f>IFERROR(AVERAGE(Data!K498), "  ")</f>
        <v>-0.26033057851239672</v>
      </c>
      <c r="L493" s="45">
        <f>IFERROR(AVERAGE(Data!L498), "  ")</f>
        <v>543.66666666666663</v>
      </c>
    </row>
    <row r="494" spans="1:12" x14ac:dyDescent="0.2">
      <c r="A494" s="43">
        <f>Data!A499</f>
        <v>42084</v>
      </c>
      <c r="B494" s="42">
        <f>IFERROR(AVERAGE(Data!B499), "  ")</f>
        <v>219</v>
      </c>
      <c r="C494" s="42">
        <f>IFERROR(AVERAGE(Data!C499), "  ")</f>
        <v>34</v>
      </c>
      <c r="D494" s="42">
        <f>IFERROR(AVERAGE(Data!D499), "  ")</f>
        <v>97</v>
      </c>
      <c r="E494" s="42">
        <f>IFERROR(AVERAGE(Data!E499), "  ")</f>
        <v>350</v>
      </c>
      <c r="F494" s="42">
        <f>IFERROR(AVERAGE(Data!F499), "  ")</f>
        <v>477</v>
      </c>
      <c r="G494" s="42">
        <f>IFERROR(AVERAGE(Data!G499), "  ")</f>
        <v>127</v>
      </c>
      <c r="H494" s="44">
        <f>IFERROR(AVERAGE(Data!H499), "  ")</f>
        <v>-0.11173184357541899</v>
      </c>
      <c r="I494" s="44">
        <f>IFERROR(AVERAGE(Data!I499), "  ")</f>
        <v>0.45833333333333331</v>
      </c>
      <c r="J494" s="42">
        <f>IFERROR(AVERAGE(Data!J499), "  ")</f>
        <v>110</v>
      </c>
      <c r="K494" s="44">
        <f>IFERROR(AVERAGE(Data!K499), "  ")</f>
        <v>-0.36988110964332893</v>
      </c>
      <c r="L494" s="45">
        <f>IFERROR(AVERAGE(Data!L499), "  ")</f>
        <v>550</v>
      </c>
    </row>
    <row r="495" spans="1:12" x14ac:dyDescent="0.2">
      <c r="A495" s="43">
        <f>Data!A500</f>
        <v>42091</v>
      </c>
      <c r="B495" s="42">
        <f>IFERROR(AVERAGE(Data!B500), "  ")</f>
        <v>227</v>
      </c>
      <c r="C495" s="42">
        <f>IFERROR(AVERAGE(Data!C500), "  ")</f>
        <v>37</v>
      </c>
      <c r="D495" s="42">
        <f>IFERROR(AVERAGE(Data!D500), "  ")</f>
        <v>121</v>
      </c>
      <c r="E495" s="42">
        <f>IFERROR(AVERAGE(Data!E500), "  ")</f>
        <v>385</v>
      </c>
      <c r="F495" s="42">
        <f>IFERROR(AVERAGE(Data!F500), "  ")</f>
        <v>623</v>
      </c>
      <c r="G495" s="42">
        <f>IFERROR(AVERAGE(Data!G500), "  ")</f>
        <v>238</v>
      </c>
      <c r="H495" s="44">
        <f>IFERROR(AVERAGE(Data!H500), "  ")</f>
        <v>0.30607966457023061</v>
      </c>
      <c r="I495" s="44">
        <f>IFERROR(AVERAGE(Data!I500), "  ")</f>
        <v>0.1</v>
      </c>
      <c r="J495" s="42">
        <f>IFERROR(AVERAGE(Data!J500), "  ")</f>
        <v>35</v>
      </c>
      <c r="K495" s="44">
        <f>IFERROR(AVERAGE(Data!K500), "  ")</f>
        <v>-0.18134034165571616</v>
      </c>
      <c r="L495" s="45">
        <f>IFERROR(AVERAGE(Data!L500), "  ")</f>
        <v>535.33333333333337</v>
      </c>
    </row>
    <row r="496" spans="1:12" x14ac:dyDescent="0.2">
      <c r="A496" s="43">
        <f>Data!A501</f>
        <v>42098</v>
      </c>
      <c r="B496" s="42">
        <f>IFERROR(AVERAGE(Data!B501), "  ")</f>
        <v>250</v>
      </c>
      <c r="C496" s="42">
        <f>IFERROR(AVERAGE(Data!C501), "  ")</f>
        <v>27</v>
      </c>
      <c r="D496" s="42">
        <f>IFERROR(AVERAGE(Data!D501), "  ")</f>
        <v>168</v>
      </c>
      <c r="E496" s="42">
        <f>IFERROR(AVERAGE(Data!E501), "  ")</f>
        <v>445</v>
      </c>
      <c r="F496" s="42">
        <f>IFERROR(AVERAGE(Data!F501), "  ")</f>
        <v>451</v>
      </c>
      <c r="G496" s="42">
        <f>IFERROR(AVERAGE(Data!G501), "  ")</f>
        <v>6</v>
      </c>
      <c r="H496" s="44">
        <f>IFERROR(AVERAGE(Data!H501), "  ")</f>
        <v>-0.27608346709470305</v>
      </c>
      <c r="I496" s="44">
        <f>IFERROR(AVERAGE(Data!I501), "  ")</f>
        <v>0.15584415584415584</v>
      </c>
      <c r="J496" s="42">
        <f>IFERROR(AVERAGE(Data!J501), "  ")</f>
        <v>60</v>
      </c>
      <c r="K496" s="44">
        <f>IFERROR(AVERAGE(Data!K501), "  ")</f>
        <v>-0.36389280677009872</v>
      </c>
      <c r="L496" s="45">
        <f>IFERROR(AVERAGE(Data!L501), "  ")</f>
        <v>505</v>
      </c>
    </row>
    <row r="497" spans="1:12" x14ac:dyDescent="0.2">
      <c r="A497" s="43">
        <f>Data!A502</f>
        <v>42105</v>
      </c>
      <c r="B497" s="42">
        <f>IFERROR(AVERAGE(Data!B502), "  ")</f>
        <v>281</v>
      </c>
      <c r="C497" s="42">
        <f>IFERROR(AVERAGE(Data!C502), "  ")</f>
        <v>32</v>
      </c>
      <c r="D497" s="42">
        <f>IFERROR(AVERAGE(Data!D502), "  ")</f>
        <v>135</v>
      </c>
      <c r="E497" s="42">
        <f>IFERROR(AVERAGE(Data!E502), "  ")</f>
        <v>448</v>
      </c>
      <c r="F497" s="42">
        <f>IFERROR(AVERAGE(Data!F502), "  ")</f>
        <v>511</v>
      </c>
      <c r="G497" s="42">
        <f>IFERROR(AVERAGE(Data!G502), "  ")</f>
        <v>63</v>
      </c>
      <c r="H497" s="44">
        <f>IFERROR(AVERAGE(Data!H502), "  ")</f>
        <v>0.13303769401330376</v>
      </c>
      <c r="I497" s="44">
        <f>IFERROR(AVERAGE(Data!I502), "  ")</f>
        <v>6.7415730337078653E-3</v>
      </c>
      <c r="J497" s="42">
        <f>IFERROR(AVERAGE(Data!J502), "  ")</f>
        <v>3</v>
      </c>
      <c r="K497" s="44">
        <f>IFERROR(AVERAGE(Data!K502), "  ")</f>
        <v>-0.24408284023668639</v>
      </c>
      <c r="L497" s="45">
        <f>IFERROR(AVERAGE(Data!L502), "  ")</f>
        <v>550.66666666666663</v>
      </c>
    </row>
    <row r="498" spans="1:12" x14ac:dyDescent="0.2">
      <c r="A498" s="43">
        <f>Data!A503</f>
        <v>42112</v>
      </c>
      <c r="B498" s="42">
        <f>IFERROR(AVERAGE(Data!B503), "  ")</f>
        <v>302</v>
      </c>
      <c r="C498" s="42">
        <f>IFERROR(AVERAGE(Data!C503), "  ")</f>
        <v>25</v>
      </c>
      <c r="D498" s="42">
        <f>IFERROR(AVERAGE(Data!D503), "  ")</f>
        <v>106</v>
      </c>
      <c r="E498" s="42">
        <f>IFERROR(AVERAGE(Data!E503), "  ")</f>
        <v>433</v>
      </c>
      <c r="F498" s="42">
        <f>IFERROR(AVERAGE(Data!F503), "  ")</f>
        <v>436</v>
      </c>
      <c r="G498" s="42">
        <f>IFERROR(AVERAGE(Data!G503), "  ")</f>
        <v>3</v>
      </c>
      <c r="H498" s="44">
        <f>IFERROR(AVERAGE(Data!H503), "  ")</f>
        <v>-0.14677103718199608</v>
      </c>
      <c r="I498" s="44">
        <f>IFERROR(AVERAGE(Data!I503), "  ")</f>
        <v>-3.3482142857142856E-2</v>
      </c>
      <c r="J498" s="42">
        <f>IFERROR(AVERAGE(Data!J503), "  ")</f>
        <v>-15</v>
      </c>
      <c r="K498" s="44">
        <f>IFERROR(AVERAGE(Data!K503), "  ")</f>
        <v>-0.3001605136436597</v>
      </c>
      <c r="L498" s="45">
        <f>IFERROR(AVERAGE(Data!L503), "  ")</f>
        <v>492.33333333333331</v>
      </c>
    </row>
    <row r="499" spans="1:12" x14ac:dyDescent="0.2">
      <c r="A499" s="43">
        <f>Data!A504</f>
        <v>42119</v>
      </c>
      <c r="B499" s="42">
        <f>IFERROR(AVERAGE(Data!B504), "  ")</f>
        <v>268</v>
      </c>
      <c r="C499" s="42">
        <f>IFERROR(AVERAGE(Data!C504), "  ")</f>
        <v>26</v>
      </c>
      <c r="D499" s="42">
        <f>IFERROR(AVERAGE(Data!D504), "  ")</f>
        <v>137</v>
      </c>
      <c r="E499" s="42">
        <f>IFERROR(AVERAGE(Data!E504), "  ")</f>
        <v>431</v>
      </c>
      <c r="F499" s="42">
        <f>IFERROR(AVERAGE(Data!F504), "  ")</f>
        <v>655</v>
      </c>
      <c r="G499" s="42">
        <f>IFERROR(AVERAGE(Data!G504), "  ")</f>
        <v>224</v>
      </c>
      <c r="H499" s="44">
        <f>IFERROR(AVERAGE(Data!H504), "  ")</f>
        <v>0.50229357798165142</v>
      </c>
      <c r="I499" s="44">
        <f>IFERROR(AVERAGE(Data!I504), "  ")</f>
        <v>-4.6189376443418013E-3</v>
      </c>
      <c r="J499" s="42">
        <f>IFERROR(AVERAGE(Data!J504), "  ")</f>
        <v>-2</v>
      </c>
      <c r="K499" s="44">
        <f>IFERROR(AVERAGE(Data!K504), "  ")</f>
        <v>0.20404411764705882</v>
      </c>
      <c r="L499" s="45">
        <f>IFERROR(AVERAGE(Data!L504), "  ")</f>
        <v>378</v>
      </c>
    </row>
    <row r="500" spans="1:12" x14ac:dyDescent="0.2">
      <c r="A500" s="43">
        <f>Data!A505</f>
        <v>42126</v>
      </c>
      <c r="B500" s="42">
        <f>IFERROR(AVERAGE(Data!B505), "  ")</f>
        <v>352</v>
      </c>
      <c r="C500" s="42">
        <f>IFERROR(AVERAGE(Data!C505), "  ")</f>
        <v>30</v>
      </c>
      <c r="D500" s="42">
        <f>IFERROR(AVERAGE(Data!D505), "  ")</f>
        <v>158</v>
      </c>
      <c r="E500" s="42">
        <f>IFERROR(AVERAGE(Data!E505), "  ")</f>
        <v>540</v>
      </c>
      <c r="F500" s="42">
        <f>IFERROR(AVERAGE(Data!F505), "  ")</f>
        <v>582</v>
      </c>
      <c r="G500" s="42">
        <f>IFERROR(AVERAGE(Data!G505), "  ")</f>
        <v>42</v>
      </c>
      <c r="H500" s="44">
        <f>IFERROR(AVERAGE(Data!H505), "  ")</f>
        <v>-0.11145038167938931</v>
      </c>
      <c r="I500" s="44">
        <f>IFERROR(AVERAGE(Data!I505), "  ")</f>
        <v>0.25290023201856149</v>
      </c>
      <c r="J500" s="42">
        <f>IFERROR(AVERAGE(Data!J505), "  ")</f>
        <v>109</v>
      </c>
      <c r="K500" s="44">
        <f>IFERROR(AVERAGE(Data!K505), "  ")</f>
        <v>-5.0570962479608482E-2</v>
      </c>
      <c r="L500" s="45">
        <f>IFERROR(AVERAGE(Data!L505), "  ")</f>
        <v>421</v>
      </c>
    </row>
    <row r="501" spans="1:12" x14ac:dyDescent="0.2">
      <c r="A501" s="43">
        <f>Data!A506</f>
        <v>42133</v>
      </c>
      <c r="B501" s="42">
        <f>IFERROR(AVERAGE(Data!B506), "  ")</f>
        <v>345</v>
      </c>
      <c r="C501" s="42">
        <f>IFERROR(AVERAGE(Data!C506), "  ")</f>
        <v>21</v>
      </c>
      <c r="D501" s="42">
        <f>IFERROR(AVERAGE(Data!D506), "  ")</f>
        <v>115</v>
      </c>
      <c r="E501" s="42">
        <f>IFERROR(AVERAGE(Data!E506), "  ")</f>
        <v>481</v>
      </c>
      <c r="F501" s="42">
        <f>IFERROR(AVERAGE(Data!F506), "  ")</f>
        <v>676</v>
      </c>
      <c r="G501" s="42">
        <f>IFERROR(AVERAGE(Data!G506), "  ")</f>
        <v>195</v>
      </c>
      <c r="H501" s="44">
        <f>IFERROR(AVERAGE(Data!H506), "  ")</f>
        <v>0.16151202749140894</v>
      </c>
      <c r="I501" s="44">
        <f>IFERROR(AVERAGE(Data!I506), "  ")</f>
        <v>-0.10925925925925926</v>
      </c>
      <c r="J501" s="42">
        <f>IFERROR(AVERAGE(Data!J506), "  ")</f>
        <v>-59</v>
      </c>
      <c r="K501" s="44">
        <f>IFERROR(AVERAGE(Data!K506), "  ")</f>
        <v>0.37398373983739835</v>
      </c>
      <c r="L501" s="45">
        <f>IFERROR(AVERAGE(Data!L506), "  ")</f>
        <v>448.33333333333331</v>
      </c>
    </row>
    <row r="502" spans="1:12" x14ac:dyDescent="0.2">
      <c r="A502" s="43">
        <f>Data!A507</f>
        <v>42140</v>
      </c>
      <c r="B502" s="42">
        <f>IFERROR(AVERAGE(Data!B507), "  ")</f>
        <v>393</v>
      </c>
      <c r="C502" s="42">
        <f>IFERROR(AVERAGE(Data!C507), "  ")</f>
        <v>0</v>
      </c>
      <c r="D502" s="42">
        <f>IFERROR(AVERAGE(Data!D507), "  ")</f>
        <v>98</v>
      </c>
      <c r="E502" s="42">
        <f>IFERROR(AVERAGE(Data!E507), "  ")</f>
        <v>491</v>
      </c>
      <c r="F502" s="42">
        <f>IFERROR(AVERAGE(Data!F507), "  ")</f>
        <v>674</v>
      </c>
      <c r="G502" s="42">
        <f>IFERROR(AVERAGE(Data!G507), "  ")</f>
        <v>183</v>
      </c>
      <c r="H502" s="44">
        <f>IFERROR(AVERAGE(Data!H507), "  ")</f>
        <v>-2.9585798816568047E-3</v>
      </c>
      <c r="I502" s="44">
        <f>IFERROR(AVERAGE(Data!I507), "  ")</f>
        <v>2.0790020790020791E-2</v>
      </c>
      <c r="J502" s="42">
        <f>IFERROR(AVERAGE(Data!J507), "  ")</f>
        <v>10</v>
      </c>
      <c r="K502" s="44">
        <f>IFERROR(AVERAGE(Data!K507), "  ")</f>
        <v>0.18871252204585537</v>
      </c>
      <c r="L502" s="45">
        <f>IFERROR(AVERAGE(Data!L507), "  ")</f>
        <v>453.33333333333331</v>
      </c>
    </row>
    <row r="503" spans="1:12" x14ac:dyDescent="0.2">
      <c r="A503" s="43">
        <f>Data!A508</f>
        <v>42147</v>
      </c>
      <c r="B503" s="42">
        <f>IFERROR(AVERAGE(Data!B508), "  ")</f>
        <v>416</v>
      </c>
      <c r="C503" s="42">
        <f>IFERROR(AVERAGE(Data!C508), "  ")</f>
        <v>0</v>
      </c>
      <c r="D503" s="42">
        <f>IFERROR(AVERAGE(Data!D508), "  ")</f>
        <v>122</v>
      </c>
      <c r="E503" s="42">
        <f>IFERROR(AVERAGE(Data!E508), "  ")</f>
        <v>538</v>
      </c>
      <c r="F503" s="42">
        <f>IFERROR(AVERAGE(Data!F508), "  ")</f>
        <v>608</v>
      </c>
      <c r="G503" s="42">
        <f>IFERROR(AVERAGE(Data!G508), "  ")</f>
        <v>70</v>
      </c>
      <c r="H503" s="44">
        <f>IFERROR(AVERAGE(Data!H508), "  ")</f>
        <v>-9.7922848664688422E-2</v>
      </c>
      <c r="I503" s="44">
        <f>IFERROR(AVERAGE(Data!I508), "  ")</f>
        <v>9.5723014256619138E-2</v>
      </c>
      <c r="J503" s="42">
        <f>IFERROR(AVERAGE(Data!J508), "  ")</f>
        <v>47</v>
      </c>
      <c r="K503" s="44">
        <f>IFERROR(AVERAGE(Data!K508), "  ")</f>
        <v>3.3003300330033004E-3</v>
      </c>
      <c r="L503" s="45">
        <f>IFERROR(AVERAGE(Data!L508), "  ")</f>
        <v>472.66666666666669</v>
      </c>
    </row>
    <row r="504" spans="1:12" x14ac:dyDescent="0.2">
      <c r="A504" s="43">
        <f>Data!A509</f>
        <v>42154</v>
      </c>
      <c r="B504" s="42">
        <f>IFERROR(AVERAGE(Data!B509), "  ")</f>
        <v>383</v>
      </c>
      <c r="C504" s="42">
        <f>IFERROR(AVERAGE(Data!C509), "  ")</f>
        <v>0</v>
      </c>
      <c r="D504" s="42">
        <f>IFERROR(AVERAGE(Data!D509), "  ")</f>
        <v>62</v>
      </c>
      <c r="E504" s="42">
        <f>IFERROR(AVERAGE(Data!E509), "  ")</f>
        <v>445</v>
      </c>
      <c r="F504" s="42">
        <f>IFERROR(AVERAGE(Data!F509), "  ")</f>
        <v>422</v>
      </c>
      <c r="G504" s="42">
        <f>IFERROR(AVERAGE(Data!G509), "  ")</f>
        <v>-23</v>
      </c>
      <c r="H504" s="44">
        <f>IFERROR(AVERAGE(Data!H509), "  ")</f>
        <v>-0.30592105263157893</v>
      </c>
      <c r="I504" s="44">
        <f>IFERROR(AVERAGE(Data!I509), "  ")</f>
        <v>-0.17286245353159851</v>
      </c>
      <c r="J504" s="42">
        <f>IFERROR(AVERAGE(Data!J509), "  ")</f>
        <v>-93</v>
      </c>
      <c r="K504" s="44">
        <f>IFERROR(AVERAGE(Data!K509), "  ")</f>
        <v>-6.8432671081677707E-2</v>
      </c>
      <c r="L504" s="45">
        <f>IFERROR(AVERAGE(Data!L509), "  ")</f>
        <v>360</v>
      </c>
    </row>
    <row r="505" spans="1:12" x14ac:dyDescent="0.2">
      <c r="A505" s="43">
        <f>Data!A510</f>
        <v>42161</v>
      </c>
      <c r="B505" s="42">
        <f>IFERROR(AVERAGE(Data!B510), "  ")</f>
        <v>440</v>
      </c>
      <c r="C505" s="42" t="str">
        <f>IFERROR(AVERAGE(Data!C510), "  ")</f>
        <v xml:space="preserve">  </v>
      </c>
      <c r="D505" s="42">
        <f>IFERROR(AVERAGE(Data!D510), "  ")</f>
        <v>86</v>
      </c>
      <c r="E505" s="42">
        <f>IFERROR(AVERAGE(Data!E510), "  ")</f>
        <v>526</v>
      </c>
      <c r="F505" s="42">
        <f>IFERROR(AVERAGE(Data!F510), "  ")</f>
        <v>440</v>
      </c>
      <c r="G505" s="42">
        <f>IFERROR(AVERAGE(Data!G510), "  ")</f>
        <v>-86</v>
      </c>
      <c r="H505" s="44">
        <f>IFERROR(AVERAGE(Data!H510), "  ")</f>
        <v>4.2654028436018961E-2</v>
      </c>
      <c r="I505" s="44">
        <f>IFERROR(AVERAGE(Data!I510), "  ")</f>
        <v>0.18202247191011237</v>
      </c>
      <c r="J505" s="42">
        <f>IFERROR(AVERAGE(Data!J510), "  ")</f>
        <v>81</v>
      </c>
      <c r="K505" s="44">
        <f>IFERROR(AVERAGE(Data!K510), "  ")</f>
        <v>-0.21985815602836881</v>
      </c>
      <c r="L505" s="45">
        <f>IFERROR(AVERAGE(Data!L510), "  ")</f>
        <v>373.33333333333331</v>
      </c>
    </row>
    <row r="506" spans="1:12" x14ac:dyDescent="0.2">
      <c r="A506" s="43">
        <f>Data!A511</f>
        <v>42168</v>
      </c>
      <c r="B506" s="42">
        <f>IFERROR(AVERAGE(Data!B511), "  ")</f>
        <v>465</v>
      </c>
      <c r="C506" s="42">
        <f>IFERROR(AVERAGE(Data!C511), "  ")</f>
        <v>12</v>
      </c>
      <c r="D506" s="42">
        <f>IFERROR(AVERAGE(Data!D511), "  ")</f>
        <v>89</v>
      </c>
      <c r="E506" s="42">
        <f>IFERROR(AVERAGE(Data!E511), "  ")</f>
        <v>566</v>
      </c>
      <c r="F506" s="42">
        <f>IFERROR(AVERAGE(Data!F511), "  ")</f>
        <v>622</v>
      </c>
      <c r="G506" s="42">
        <f>IFERROR(AVERAGE(Data!G511), "  ")</f>
        <v>56</v>
      </c>
      <c r="H506" s="44">
        <f>IFERROR(AVERAGE(Data!H511), "  ")</f>
        <v>0.41363636363636364</v>
      </c>
      <c r="I506" s="44">
        <f>IFERROR(AVERAGE(Data!I511), "  ")</f>
        <v>7.6045627376425853E-2</v>
      </c>
      <c r="J506" s="42">
        <f>IFERROR(AVERAGE(Data!J511), "  ")</f>
        <v>40</v>
      </c>
      <c r="K506" s="44">
        <f>IFERROR(AVERAGE(Data!K511), "  ")</f>
        <v>5.0675675675675678E-2</v>
      </c>
      <c r="L506" s="45">
        <f>IFERROR(AVERAGE(Data!L511), "  ")</f>
        <v>425.66666666666669</v>
      </c>
    </row>
    <row r="507" spans="1:12" x14ac:dyDescent="0.2">
      <c r="A507" s="43">
        <f>Data!A512</f>
        <v>42175</v>
      </c>
      <c r="B507" s="42">
        <f>IFERROR(AVERAGE(Data!B512), "  ")</f>
        <v>345</v>
      </c>
      <c r="C507" s="42">
        <f>IFERROR(AVERAGE(Data!C512), "  ")</f>
        <v>12</v>
      </c>
      <c r="D507" s="42">
        <f>IFERROR(AVERAGE(Data!D512), "  ")</f>
        <v>90</v>
      </c>
      <c r="E507" s="42">
        <f>IFERROR(AVERAGE(Data!E512), "  ")</f>
        <v>447</v>
      </c>
      <c r="F507" s="42">
        <f>IFERROR(AVERAGE(Data!F512), "  ")</f>
        <v>591</v>
      </c>
      <c r="G507" s="42">
        <f>IFERROR(AVERAGE(Data!G512), "  ")</f>
        <v>144</v>
      </c>
      <c r="H507" s="44">
        <f>IFERROR(AVERAGE(Data!H512), "  ")</f>
        <v>-4.9839228295819937E-2</v>
      </c>
      <c r="I507" s="44">
        <f>IFERROR(AVERAGE(Data!I512), "  ")</f>
        <v>-0.21024734982332155</v>
      </c>
      <c r="J507" s="42">
        <f>IFERROR(AVERAGE(Data!J512), "  ")</f>
        <v>-119</v>
      </c>
      <c r="K507" s="44">
        <f>IFERROR(AVERAGE(Data!K512), "  ")</f>
        <v>0.37122969837587005</v>
      </c>
      <c r="L507" s="45">
        <f>IFERROR(AVERAGE(Data!L512), "  ")</f>
        <v>375</v>
      </c>
    </row>
    <row r="508" spans="1:12" x14ac:dyDescent="0.2">
      <c r="A508" s="43">
        <f>Data!A513</f>
        <v>42182</v>
      </c>
      <c r="B508" s="42">
        <f>IFERROR(AVERAGE(Data!B513), "  ")</f>
        <v>364</v>
      </c>
      <c r="C508" s="42">
        <f>IFERROR(AVERAGE(Data!C513), "  ")</f>
        <v>0</v>
      </c>
      <c r="D508" s="42">
        <f>IFERROR(AVERAGE(Data!D513), "  ")</f>
        <v>109</v>
      </c>
      <c r="E508" s="42">
        <f>IFERROR(AVERAGE(Data!E513), "  ")</f>
        <v>473</v>
      </c>
      <c r="F508" s="42">
        <f>IFERROR(AVERAGE(Data!F513), "  ")</f>
        <v>564</v>
      </c>
      <c r="G508" s="42">
        <f>IFERROR(AVERAGE(Data!G513), "  ")</f>
        <v>91</v>
      </c>
      <c r="H508" s="44">
        <f>IFERROR(AVERAGE(Data!H513), "  ")</f>
        <v>-4.5685279187817257E-2</v>
      </c>
      <c r="I508" s="44">
        <f>IFERROR(AVERAGE(Data!I513), "  ")</f>
        <v>5.8165548098434001E-2</v>
      </c>
      <c r="J508" s="42">
        <f>IFERROR(AVERAGE(Data!J513), "  ")</f>
        <v>26</v>
      </c>
      <c r="K508" s="44">
        <f>IFERROR(AVERAGE(Data!K513), "  ")</f>
        <v>6.2146892655367235E-2</v>
      </c>
      <c r="L508" s="45">
        <f>IFERROR(AVERAGE(Data!L513), "  ")</f>
        <v>474.33333333333331</v>
      </c>
    </row>
    <row r="509" spans="1:12" x14ac:dyDescent="0.2">
      <c r="A509" s="43">
        <f>Data!A514</f>
        <v>42189</v>
      </c>
      <c r="B509" s="42">
        <f>IFERROR(AVERAGE(Data!B514), "  ")</f>
        <v>118</v>
      </c>
      <c r="C509" s="42">
        <f>IFERROR(AVERAGE(Data!C514), "  ")</f>
        <v>7</v>
      </c>
      <c r="D509" s="42">
        <f>IFERROR(AVERAGE(Data!D514), "  ")</f>
        <v>157</v>
      </c>
      <c r="E509" s="42">
        <f>IFERROR(AVERAGE(Data!E514), "  ")</f>
        <v>282</v>
      </c>
      <c r="F509" s="42">
        <f>IFERROR(AVERAGE(Data!F514), "  ")</f>
        <v>515</v>
      </c>
      <c r="G509" s="42">
        <f>IFERROR(AVERAGE(Data!G514), "  ")</f>
        <v>233</v>
      </c>
      <c r="H509" s="44">
        <f>IFERROR(AVERAGE(Data!H514), "  ")</f>
        <v>-8.6879432624113476E-2</v>
      </c>
      <c r="I509" s="44">
        <f>IFERROR(AVERAGE(Data!I514), "  ")</f>
        <v>-0.40380549682875266</v>
      </c>
      <c r="J509" s="42">
        <f>IFERROR(AVERAGE(Data!J514), "  ")</f>
        <v>-191</v>
      </c>
      <c r="K509" s="44">
        <f>IFERROR(AVERAGE(Data!K514), "  ")</f>
        <v>-0.10434782608695652</v>
      </c>
      <c r="L509" s="45">
        <f>IFERROR(AVERAGE(Data!L514), "  ")</f>
        <v>437</v>
      </c>
    </row>
    <row r="510" spans="1:12" x14ac:dyDescent="0.2">
      <c r="A510" s="43">
        <f>Data!A515</f>
        <v>42196</v>
      </c>
      <c r="B510" s="42">
        <f>IFERROR(AVERAGE(Data!B515), "  ")</f>
        <v>362</v>
      </c>
      <c r="C510" s="42">
        <f>IFERROR(AVERAGE(Data!C515), "  ")</f>
        <v>11</v>
      </c>
      <c r="D510" s="42">
        <f>IFERROR(AVERAGE(Data!D515), "  ")</f>
        <v>80</v>
      </c>
      <c r="E510" s="42">
        <f>IFERROR(AVERAGE(Data!E515), "  ")</f>
        <v>453</v>
      </c>
      <c r="F510" s="42">
        <f>IFERROR(AVERAGE(Data!F515), "  ")</f>
        <v>611</v>
      </c>
      <c r="G510" s="42">
        <f>IFERROR(AVERAGE(Data!G515), "  ")</f>
        <v>158</v>
      </c>
      <c r="H510" s="44">
        <f>IFERROR(AVERAGE(Data!H515), "  ")</f>
        <v>0.18640776699029127</v>
      </c>
      <c r="I510" s="44">
        <f>IFERROR(AVERAGE(Data!I515), "  ")</f>
        <v>0.6063829787234043</v>
      </c>
      <c r="J510" s="42">
        <f>IFERROR(AVERAGE(Data!J515), "  ")</f>
        <v>171</v>
      </c>
      <c r="K510" s="44">
        <f>IFERROR(AVERAGE(Data!K515), "  ")</f>
        <v>1.8333333333333333E-2</v>
      </c>
      <c r="L510" s="45">
        <f>IFERROR(AVERAGE(Data!L515), "  ")</f>
        <v>473.66666666666669</v>
      </c>
    </row>
    <row r="511" spans="1:12" x14ac:dyDescent="0.2">
      <c r="A511" s="43">
        <f>Data!A516</f>
        <v>42203</v>
      </c>
      <c r="B511" s="42">
        <f>IFERROR(AVERAGE(Data!B516), "  ")</f>
        <v>357</v>
      </c>
      <c r="C511" s="42">
        <f>IFERROR(AVERAGE(Data!C516), "  ")</f>
        <v>20</v>
      </c>
      <c r="D511" s="42">
        <f>IFERROR(AVERAGE(Data!D516), "  ")</f>
        <v>92</v>
      </c>
      <c r="E511" s="42">
        <f>IFERROR(AVERAGE(Data!E516), "  ")</f>
        <v>469</v>
      </c>
      <c r="F511" s="42">
        <f>IFERROR(AVERAGE(Data!F516), "  ")</f>
        <v>508</v>
      </c>
      <c r="G511" s="42">
        <f>IFERROR(AVERAGE(Data!G516), "  ")</f>
        <v>39</v>
      </c>
      <c r="H511" s="44">
        <f>IFERROR(AVERAGE(Data!H516), "  ")</f>
        <v>-0.16857610474631751</v>
      </c>
      <c r="I511" s="44">
        <f>IFERROR(AVERAGE(Data!I516), "  ")</f>
        <v>3.5320088300220751E-2</v>
      </c>
      <c r="J511" s="42">
        <f>IFERROR(AVERAGE(Data!J516), "  ")</f>
        <v>16</v>
      </c>
      <c r="K511" s="44">
        <f>IFERROR(AVERAGE(Data!K516), "  ")</f>
        <v>0.1019522776572668</v>
      </c>
      <c r="L511" s="45">
        <f>IFERROR(AVERAGE(Data!L516), "  ")</f>
        <v>427.33333333333331</v>
      </c>
    </row>
    <row r="512" spans="1:12" x14ac:dyDescent="0.2">
      <c r="A512" s="43">
        <f>Data!A517</f>
        <v>42210</v>
      </c>
      <c r="B512" s="42">
        <f>IFERROR(AVERAGE(Data!B517), "  ")</f>
        <v>419</v>
      </c>
      <c r="C512" s="42">
        <f>IFERROR(AVERAGE(Data!C517), "  ")</f>
        <v>13</v>
      </c>
      <c r="D512" s="42">
        <f>IFERROR(AVERAGE(Data!D517), "  ")</f>
        <v>93</v>
      </c>
      <c r="E512" s="42">
        <f>IFERROR(AVERAGE(Data!E517), "  ")</f>
        <v>525</v>
      </c>
      <c r="F512" s="42">
        <f>IFERROR(AVERAGE(Data!F517), "  ")</f>
        <v>556</v>
      </c>
      <c r="G512" s="42">
        <f>IFERROR(AVERAGE(Data!G517), "  ")</f>
        <v>31</v>
      </c>
      <c r="H512" s="44">
        <f>IFERROR(AVERAGE(Data!H517), "  ")</f>
        <v>9.4488188976377951E-2</v>
      </c>
      <c r="I512" s="44">
        <f>IFERROR(AVERAGE(Data!I517), "  ")</f>
        <v>0.11940298507462686</v>
      </c>
      <c r="J512" s="42">
        <f>IFERROR(AVERAGE(Data!J517), "  ")</f>
        <v>56</v>
      </c>
      <c r="K512" s="44">
        <f>IFERROR(AVERAGE(Data!K517), "  ")</f>
        <v>0.36609336609336607</v>
      </c>
      <c r="L512" s="45">
        <f>IFERROR(AVERAGE(Data!L517), "  ")</f>
        <v>397.33333333333331</v>
      </c>
    </row>
    <row r="513" spans="1:12" x14ac:dyDescent="0.2">
      <c r="A513" s="43">
        <f>Data!A518</f>
        <v>42217</v>
      </c>
      <c r="B513" s="42">
        <f>IFERROR(AVERAGE(Data!B518), "  ")</f>
        <v>481</v>
      </c>
      <c r="C513" s="42">
        <f>IFERROR(AVERAGE(Data!C518), "  ")</f>
        <v>9</v>
      </c>
      <c r="D513" s="42">
        <f>IFERROR(AVERAGE(Data!D518), "  ")</f>
        <v>82</v>
      </c>
      <c r="E513" s="42">
        <f>IFERROR(AVERAGE(Data!E518), "  ")</f>
        <v>572</v>
      </c>
      <c r="F513" s="42">
        <f>IFERROR(AVERAGE(Data!F518), "  ")</f>
        <v>459</v>
      </c>
      <c r="G513" s="42">
        <f>IFERROR(AVERAGE(Data!G518), "  ")</f>
        <v>-113</v>
      </c>
      <c r="H513" s="44">
        <f>IFERROR(AVERAGE(Data!H518), "  ")</f>
        <v>-0.17446043165467626</v>
      </c>
      <c r="I513" s="44">
        <f>IFERROR(AVERAGE(Data!I518), "  ")</f>
        <v>8.9523809523809519E-2</v>
      </c>
      <c r="J513" s="42">
        <f>IFERROR(AVERAGE(Data!J518), "  ")</f>
        <v>47</v>
      </c>
      <c r="K513" s="44">
        <f>IFERROR(AVERAGE(Data!K518), "  ")</f>
        <v>0.15326633165829145</v>
      </c>
      <c r="L513" s="45">
        <f>IFERROR(AVERAGE(Data!L518), "  ")</f>
        <v>413</v>
      </c>
    </row>
    <row r="514" spans="1:12" x14ac:dyDescent="0.2">
      <c r="A514" s="43">
        <f>Data!A519</f>
        <v>42224</v>
      </c>
      <c r="B514" s="42">
        <f>IFERROR(AVERAGE(Data!B519), "  ")</f>
        <v>513</v>
      </c>
      <c r="C514" s="42">
        <f>IFERROR(AVERAGE(Data!C519), "  ")</f>
        <v>41</v>
      </c>
      <c r="D514" s="42">
        <f>IFERROR(AVERAGE(Data!D519), "  ")</f>
        <v>61</v>
      </c>
      <c r="E514" s="42">
        <f>IFERROR(AVERAGE(Data!E519), "  ")</f>
        <v>615</v>
      </c>
      <c r="F514" s="42">
        <f>IFERROR(AVERAGE(Data!F519), "  ")</f>
        <v>530</v>
      </c>
      <c r="G514" s="42">
        <f>IFERROR(AVERAGE(Data!G519), "  ")</f>
        <v>-85</v>
      </c>
      <c r="H514" s="44">
        <f>IFERROR(AVERAGE(Data!H519), "  ")</f>
        <v>0.15468409586056645</v>
      </c>
      <c r="I514" s="44">
        <f>IFERROR(AVERAGE(Data!I519), "  ")</f>
        <v>7.5174825174825169E-2</v>
      </c>
      <c r="J514" s="42">
        <f>IFERROR(AVERAGE(Data!J519), "  ")</f>
        <v>43</v>
      </c>
      <c r="K514" s="44">
        <f>IFERROR(AVERAGE(Data!K519), "  ")</f>
        <v>0.31513647642679898</v>
      </c>
      <c r="L514" s="45">
        <f>IFERROR(AVERAGE(Data!L519), "  ")</f>
        <v>445</v>
      </c>
    </row>
    <row r="515" spans="1:12" x14ac:dyDescent="0.2">
      <c r="A515" s="43">
        <f>Data!A520</f>
        <v>42231</v>
      </c>
      <c r="B515" s="42">
        <f>IFERROR(AVERAGE(Data!B520), "  ")</f>
        <v>474</v>
      </c>
      <c r="C515" s="42">
        <f>IFERROR(AVERAGE(Data!C520), "  ")</f>
        <v>47</v>
      </c>
      <c r="D515" s="42">
        <f>IFERROR(AVERAGE(Data!D520), "  ")</f>
        <v>85</v>
      </c>
      <c r="E515" s="42">
        <f>IFERROR(AVERAGE(Data!E520), "  ")</f>
        <v>606</v>
      </c>
      <c r="F515" s="42">
        <f>IFERROR(AVERAGE(Data!F520), "  ")</f>
        <v>748</v>
      </c>
      <c r="G515" s="42">
        <f>IFERROR(AVERAGE(Data!G520), "  ")</f>
        <v>142</v>
      </c>
      <c r="H515" s="44">
        <f>IFERROR(AVERAGE(Data!H520), "  ")</f>
        <v>0.41132075471698115</v>
      </c>
      <c r="I515" s="44">
        <f>IFERROR(AVERAGE(Data!I520), "  ")</f>
        <v>-1.4634146341463415E-2</v>
      </c>
      <c r="J515" s="42">
        <f>IFERROR(AVERAGE(Data!J520), "  ")</f>
        <v>-9</v>
      </c>
      <c r="K515" s="44">
        <f>IFERROR(AVERAGE(Data!K520), "  ")</f>
        <v>0.69230769230769229</v>
      </c>
      <c r="L515" s="45">
        <f>IFERROR(AVERAGE(Data!L520), "  ")</f>
        <v>441.33333333333331</v>
      </c>
    </row>
    <row r="516" spans="1:12" x14ac:dyDescent="0.2">
      <c r="A516" s="43">
        <f>Data!A521</f>
        <v>42238</v>
      </c>
      <c r="B516" s="42">
        <f>IFERROR(AVERAGE(Data!B521), "  ")</f>
        <v>347</v>
      </c>
      <c r="C516" s="42">
        <f>IFERROR(AVERAGE(Data!C521), "  ")</f>
        <v>6</v>
      </c>
      <c r="D516" s="42">
        <f>IFERROR(AVERAGE(Data!D521), "  ")</f>
        <v>58</v>
      </c>
      <c r="E516" s="42">
        <f>IFERROR(AVERAGE(Data!E521), "  ")</f>
        <v>411</v>
      </c>
      <c r="F516" s="42">
        <f>IFERROR(AVERAGE(Data!F521), "  ")</f>
        <v>603</v>
      </c>
      <c r="G516" s="42">
        <f>IFERROR(AVERAGE(Data!G521), "  ")</f>
        <v>192</v>
      </c>
      <c r="H516" s="44">
        <f>IFERROR(AVERAGE(Data!H521), "  ")</f>
        <v>-0.19385026737967914</v>
      </c>
      <c r="I516" s="44">
        <f>IFERROR(AVERAGE(Data!I521), "  ")</f>
        <v>-0.32178217821782179</v>
      </c>
      <c r="J516" s="42">
        <f>IFERROR(AVERAGE(Data!J521), "  ")</f>
        <v>-195</v>
      </c>
      <c r="K516" s="44">
        <f>IFERROR(AVERAGE(Data!K521), "  ")</f>
        <v>0.26947368421052631</v>
      </c>
      <c r="L516" s="45">
        <f>IFERROR(AVERAGE(Data!L521), "  ")</f>
        <v>468.66666666666669</v>
      </c>
    </row>
    <row r="517" spans="1:12" x14ac:dyDescent="0.2">
      <c r="A517" s="43">
        <f>Data!A522</f>
        <v>42245</v>
      </c>
      <c r="B517" s="42">
        <f>IFERROR(AVERAGE(Data!B522), "  ")</f>
        <v>306</v>
      </c>
      <c r="C517" s="42">
        <f>IFERROR(AVERAGE(Data!C522), "  ")</f>
        <v>23</v>
      </c>
      <c r="D517" s="42">
        <f>IFERROR(AVERAGE(Data!D522), "  ")</f>
        <v>51</v>
      </c>
      <c r="E517" s="42">
        <f>IFERROR(AVERAGE(Data!E522), "  ")</f>
        <v>380</v>
      </c>
      <c r="F517" s="42">
        <f>IFERROR(AVERAGE(Data!F522), "  ")</f>
        <v>496</v>
      </c>
      <c r="G517" s="42">
        <f>IFERROR(AVERAGE(Data!G522), "  ")</f>
        <v>116</v>
      </c>
      <c r="H517" s="44">
        <f>IFERROR(AVERAGE(Data!H522), "  ")</f>
        <v>-0.17744610281923714</v>
      </c>
      <c r="I517" s="44">
        <f>IFERROR(AVERAGE(Data!I522), "  ")</f>
        <v>-7.5425790754257913E-2</v>
      </c>
      <c r="J517" s="42">
        <f>IFERROR(AVERAGE(Data!J522), "  ")</f>
        <v>-31</v>
      </c>
      <c r="K517" s="44">
        <f>IFERROR(AVERAGE(Data!K522), "  ")</f>
        <v>4.6413502109704644E-2</v>
      </c>
      <c r="L517" s="45">
        <f>IFERROR(AVERAGE(Data!L522), "  ")</f>
        <v>364.33333333333331</v>
      </c>
    </row>
    <row r="518" spans="1:12" x14ac:dyDescent="0.2">
      <c r="A518" s="43">
        <f>Data!A523</f>
        <v>42252</v>
      </c>
      <c r="B518" s="42">
        <f>IFERROR(AVERAGE(Data!B523), "  ")</f>
        <v>181</v>
      </c>
      <c r="C518" s="42">
        <f>IFERROR(AVERAGE(Data!C523), "  ")</f>
        <v>18</v>
      </c>
      <c r="D518" s="42">
        <f>IFERROR(AVERAGE(Data!D523), "  ")</f>
        <v>46</v>
      </c>
      <c r="E518" s="42">
        <f>IFERROR(AVERAGE(Data!E523), "  ")</f>
        <v>245</v>
      </c>
      <c r="F518" s="42">
        <f>IFERROR(AVERAGE(Data!F523), "  ")</f>
        <v>650</v>
      </c>
      <c r="G518" s="42">
        <f>IFERROR(AVERAGE(Data!G523), "  ")</f>
        <v>405</v>
      </c>
      <c r="H518" s="44">
        <f>IFERROR(AVERAGE(Data!H523), "  ")</f>
        <v>0.31048387096774194</v>
      </c>
      <c r="I518" s="44">
        <f>IFERROR(AVERAGE(Data!I523), "  ")</f>
        <v>-0.35526315789473684</v>
      </c>
      <c r="J518" s="42">
        <f>IFERROR(AVERAGE(Data!J523), "  ")</f>
        <v>-135</v>
      </c>
      <c r="K518" s="44">
        <f>IFERROR(AVERAGE(Data!K523), "  ")</f>
        <v>0.12847222222222221</v>
      </c>
      <c r="L518" s="45">
        <f>IFERROR(AVERAGE(Data!L523), "  ")</f>
        <v>502.33333333333331</v>
      </c>
    </row>
    <row r="519" spans="1:12" x14ac:dyDescent="0.2">
      <c r="A519" s="43">
        <f>Data!A524</f>
        <v>42259</v>
      </c>
      <c r="B519" s="42">
        <f>IFERROR(AVERAGE(Data!B524), "  ")</f>
        <v>204</v>
      </c>
      <c r="C519" s="42">
        <f>IFERROR(AVERAGE(Data!C524), "  ")</f>
        <v>19</v>
      </c>
      <c r="D519" s="42">
        <f>IFERROR(AVERAGE(Data!D524), "  ")</f>
        <v>23</v>
      </c>
      <c r="E519" s="42">
        <f>IFERROR(AVERAGE(Data!E524), "  ")</f>
        <v>246</v>
      </c>
      <c r="F519" s="42">
        <f>IFERROR(AVERAGE(Data!F524), "  ")</f>
        <v>597</v>
      </c>
      <c r="G519" s="42">
        <f>IFERROR(AVERAGE(Data!G524), "  ")</f>
        <v>351</v>
      </c>
      <c r="H519" s="44">
        <f>IFERROR(AVERAGE(Data!H524), "  ")</f>
        <v>-8.1538461538461532E-2</v>
      </c>
      <c r="I519" s="44">
        <f>IFERROR(AVERAGE(Data!I524), "  ")</f>
        <v>4.0816326530612249E-3</v>
      </c>
      <c r="J519" s="42">
        <f>IFERROR(AVERAGE(Data!J524), "  ")</f>
        <v>1</v>
      </c>
      <c r="K519" s="44">
        <f>IFERROR(AVERAGE(Data!K524), "  ")</f>
        <v>-6.4263322884012541E-2</v>
      </c>
      <c r="L519" s="45">
        <f>IFERROR(AVERAGE(Data!L524), "  ")</f>
        <v>589.33333333333337</v>
      </c>
    </row>
    <row r="520" spans="1:12" x14ac:dyDescent="0.2">
      <c r="A520" s="43">
        <f>Data!A525</f>
        <v>42266</v>
      </c>
      <c r="B520" s="42">
        <f>IFERROR(AVERAGE(Data!B525), "  ")</f>
        <v>199</v>
      </c>
      <c r="C520" s="42">
        <f>IFERROR(AVERAGE(Data!C525), "  ")</f>
        <v>29</v>
      </c>
      <c r="D520" s="42">
        <f>IFERROR(AVERAGE(Data!D525), "  ")</f>
        <v>20</v>
      </c>
      <c r="E520" s="42">
        <f>IFERROR(AVERAGE(Data!E525), "  ")</f>
        <v>248</v>
      </c>
      <c r="F520" s="42">
        <f>IFERROR(AVERAGE(Data!F525), "  ")</f>
        <v>764</v>
      </c>
      <c r="G520" s="42">
        <f>IFERROR(AVERAGE(Data!G525), "  ")</f>
        <v>516</v>
      </c>
      <c r="H520" s="44">
        <f>IFERROR(AVERAGE(Data!H525), "  ")</f>
        <v>0.2797319932998325</v>
      </c>
      <c r="I520" s="44">
        <f>IFERROR(AVERAGE(Data!I525), "  ")</f>
        <v>8.130081300813009E-3</v>
      </c>
      <c r="J520" s="42">
        <f>IFERROR(AVERAGE(Data!J525), "  ")</f>
        <v>2</v>
      </c>
      <c r="K520" s="44">
        <f>IFERROR(AVERAGE(Data!K525), "  ")</f>
        <v>9.2989985693848351E-2</v>
      </c>
      <c r="L520" s="45">
        <f>IFERROR(AVERAGE(Data!L525), "  ")</f>
        <v>674.66666666666663</v>
      </c>
    </row>
    <row r="521" spans="1:12" x14ac:dyDescent="0.2">
      <c r="A521" s="43">
        <f>Data!A526</f>
        <v>42273</v>
      </c>
      <c r="B521" s="42">
        <f>IFERROR(AVERAGE(Data!B526), "  ")</f>
        <v>154</v>
      </c>
      <c r="C521" s="42">
        <f>IFERROR(AVERAGE(Data!C526), "  ")</f>
        <v>27</v>
      </c>
      <c r="D521" s="42">
        <f>IFERROR(AVERAGE(Data!D526), "  ")</f>
        <v>57</v>
      </c>
      <c r="E521" s="42">
        <f>IFERROR(AVERAGE(Data!E526), "  ")</f>
        <v>238</v>
      </c>
      <c r="F521" s="42">
        <f>IFERROR(AVERAGE(Data!F526), "  ")</f>
        <v>750</v>
      </c>
      <c r="G521" s="42">
        <f>IFERROR(AVERAGE(Data!G526), "  ")</f>
        <v>512</v>
      </c>
      <c r="H521" s="44">
        <f>IFERROR(AVERAGE(Data!H526), "  ")</f>
        <v>-1.832460732984293E-2</v>
      </c>
      <c r="I521" s="44">
        <f>IFERROR(AVERAGE(Data!I526), "  ")</f>
        <v>-4.0322580645161289E-2</v>
      </c>
      <c r="J521" s="42">
        <f>IFERROR(AVERAGE(Data!J526), "  ")</f>
        <v>-10</v>
      </c>
      <c r="K521" s="44">
        <f>IFERROR(AVERAGE(Data!K526), "  ")</f>
        <v>3.8781163434903045E-2</v>
      </c>
      <c r="L521" s="45">
        <f>IFERROR(AVERAGE(Data!L526), "  ")</f>
        <v>696</v>
      </c>
    </row>
    <row r="522" spans="1:12" x14ac:dyDescent="0.2">
      <c r="A522" s="43">
        <f>Data!A527</f>
        <v>42280</v>
      </c>
      <c r="B522" s="42">
        <f>IFERROR(AVERAGE(Data!B527), "  ")</f>
        <v>146</v>
      </c>
      <c r="C522" s="42">
        <f>IFERROR(AVERAGE(Data!C527), "  ")</f>
        <v>26</v>
      </c>
      <c r="D522" s="42">
        <f>IFERROR(AVERAGE(Data!D527), "  ")</f>
        <v>49</v>
      </c>
      <c r="E522" s="42">
        <f>IFERROR(AVERAGE(Data!E527), "  ")</f>
        <v>221</v>
      </c>
      <c r="F522" s="42">
        <f>IFERROR(AVERAGE(Data!F527), "  ")</f>
        <v>706</v>
      </c>
      <c r="G522" s="42">
        <f>IFERROR(AVERAGE(Data!G527), "  ")</f>
        <v>485</v>
      </c>
      <c r="H522" s="44">
        <f>IFERROR(AVERAGE(Data!H527), "  ")</f>
        <v>-5.8666666666666666E-2</v>
      </c>
      <c r="I522" s="44">
        <f>IFERROR(AVERAGE(Data!I527), "  ")</f>
        <v>-7.1428571428571425E-2</v>
      </c>
      <c r="J522" s="42">
        <f>IFERROR(AVERAGE(Data!J527), "  ")</f>
        <v>-17</v>
      </c>
      <c r="K522" s="44">
        <f>IFERROR(AVERAGE(Data!K527), "  ")</f>
        <v>-0.12079701120797011</v>
      </c>
      <c r="L522" s="45">
        <f>IFERROR(AVERAGE(Data!L527), "  ")</f>
        <v>715</v>
      </c>
    </row>
    <row r="523" spans="1:12" x14ac:dyDescent="0.2">
      <c r="A523" s="43">
        <f>Data!A528</f>
        <v>42287</v>
      </c>
      <c r="B523" s="42">
        <f>IFERROR(AVERAGE(Data!B528), "  ")</f>
        <v>289</v>
      </c>
      <c r="C523" s="42">
        <f>IFERROR(AVERAGE(Data!C528), "  ")</f>
        <v>47</v>
      </c>
      <c r="D523" s="42">
        <f>IFERROR(AVERAGE(Data!D528), "  ")</f>
        <v>215</v>
      </c>
      <c r="E523" s="42">
        <f>IFERROR(AVERAGE(Data!E528), "  ")</f>
        <v>551</v>
      </c>
      <c r="F523" s="42">
        <f>IFERROR(AVERAGE(Data!F528), "  ")</f>
        <v>729</v>
      </c>
      <c r="G523" s="42">
        <f>IFERROR(AVERAGE(Data!G528), "  ")</f>
        <v>178</v>
      </c>
      <c r="H523" s="44">
        <f>IFERROR(AVERAGE(Data!H528), "  ")</f>
        <v>3.2577903682719546E-2</v>
      </c>
      <c r="I523" s="44">
        <f>IFERROR(AVERAGE(Data!I528), "  ")</f>
        <v>1.4932126696832579</v>
      </c>
      <c r="J523" s="42">
        <f>IFERROR(AVERAGE(Data!J528), "  ")</f>
        <v>330</v>
      </c>
      <c r="K523" s="44">
        <f>IFERROR(AVERAGE(Data!K528), "  ")</f>
        <v>-0.19801980198019803</v>
      </c>
      <c r="L523" s="45">
        <f>IFERROR(AVERAGE(Data!L528), "  ")</f>
        <v>816.66666666666663</v>
      </c>
    </row>
    <row r="524" spans="1:12" x14ac:dyDescent="0.2">
      <c r="A524" s="43">
        <f>Data!A529</f>
        <v>42294</v>
      </c>
      <c r="B524" s="42">
        <f>IFERROR(AVERAGE(Data!B529), "  ")</f>
        <v>262</v>
      </c>
      <c r="C524" s="42">
        <f>IFERROR(AVERAGE(Data!C529), "  ")</f>
        <v>56</v>
      </c>
      <c r="D524" s="42">
        <f>IFERROR(AVERAGE(Data!D529), "  ")</f>
        <v>154</v>
      </c>
      <c r="E524" s="42">
        <f>IFERROR(AVERAGE(Data!E529), "  ")</f>
        <v>472</v>
      </c>
      <c r="F524" s="42">
        <f>IFERROR(AVERAGE(Data!F529), "  ")</f>
        <v>893</v>
      </c>
      <c r="G524" s="42">
        <f>IFERROR(AVERAGE(Data!G529), "  ")</f>
        <v>421</v>
      </c>
      <c r="H524" s="44">
        <f>IFERROR(AVERAGE(Data!H529), "  ")</f>
        <v>0.22496570644718794</v>
      </c>
      <c r="I524" s="44">
        <f>IFERROR(AVERAGE(Data!I529), "  ")</f>
        <v>-0.14337568058076225</v>
      </c>
      <c r="J524" s="42">
        <f>IFERROR(AVERAGE(Data!J529), "  ")</f>
        <v>-79</v>
      </c>
      <c r="K524" s="44">
        <f>IFERROR(AVERAGE(Data!K529), "  ")</f>
        <v>-1.7601760176017601E-2</v>
      </c>
      <c r="L524" s="45">
        <f>IFERROR(AVERAGE(Data!L529), "  ")</f>
        <v>834.33333333333337</v>
      </c>
    </row>
    <row r="525" spans="1:12" x14ac:dyDescent="0.2">
      <c r="A525" s="43">
        <f>Data!A530</f>
        <v>42301</v>
      </c>
      <c r="B525" s="42">
        <f>IFERROR(AVERAGE(Data!B530), "  ")</f>
        <v>338</v>
      </c>
      <c r="C525" s="42">
        <f>IFERROR(AVERAGE(Data!C530), "  ")</f>
        <v>17</v>
      </c>
      <c r="D525" s="42">
        <f>IFERROR(AVERAGE(Data!D530), "  ")</f>
        <v>128</v>
      </c>
      <c r="E525" s="42">
        <f>IFERROR(AVERAGE(Data!E530), "  ")</f>
        <v>483</v>
      </c>
      <c r="F525" s="42">
        <f>IFERROR(AVERAGE(Data!F530), "  ")</f>
        <v>912</v>
      </c>
      <c r="G525" s="42">
        <f>IFERROR(AVERAGE(Data!G530), "  ")</f>
        <v>429</v>
      </c>
      <c r="H525" s="44">
        <f>IFERROR(AVERAGE(Data!H530), "  ")</f>
        <v>2.1276595744680851E-2</v>
      </c>
      <c r="I525" s="44">
        <f>IFERROR(AVERAGE(Data!I530), "  ")</f>
        <v>2.3305084745762712E-2</v>
      </c>
      <c r="J525" s="42">
        <f>IFERROR(AVERAGE(Data!J530), "  ")</f>
        <v>11</v>
      </c>
      <c r="K525" s="44">
        <f>IFERROR(AVERAGE(Data!K530), "  ")</f>
        <v>6.2937062937062943E-2</v>
      </c>
      <c r="L525" s="45">
        <f>IFERROR(AVERAGE(Data!L530), "  ")</f>
        <v>838</v>
      </c>
    </row>
    <row r="526" spans="1:12" x14ac:dyDescent="0.2">
      <c r="A526" s="43">
        <f>Data!A531</f>
        <v>42308</v>
      </c>
      <c r="B526" s="42">
        <f>IFERROR(AVERAGE(Data!B531), "  ")</f>
        <v>306</v>
      </c>
      <c r="C526" s="42">
        <f>IFERROR(AVERAGE(Data!C531), "  ")</f>
        <v>50</v>
      </c>
      <c r="D526" s="42">
        <f>IFERROR(AVERAGE(Data!D531), "  ")</f>
        <v>210</v>
      </c>
      <c r="E526" s="42">
        <f>IFERROR(AVERAGE(Data!E531), "  ")</f>
        <v>566</v>
      </c>
      <c r="F526" s="42">
        <f>IFERROR(AVERAGE(Data!F531), "  ")</f>
        <v>727</v>
      </c>
      <c r="G526" s="42">
        <f>IFERROR(AVERAGE(Data!G531), "  ")</f>
        <v>161</v>
      </c>
      <c r="H526" s="44">
        <f>IFERROR(AVERAGE(Data!H531), "  ")</f>
        <v>-0.20285087719298245</v>
      </c>
      <c r="I526" s="44">
        <f>IFERROR(AVERAGE(Data!I531), "  ")</f>
        <v>0.17184265010351968</v>
      </c>
      <c r="J526" s="42">
        <f>IFERROR(AVERAGE(Data!J531), "  ")</f>
        <v>83</v>
      </c>
      <c r="K526" s="44">
        <f>IFERROR(AVERAGE(Data!K531), "  ")</f>
        <v>-0.17573696145124718</v>
      </c>
      <c r="L526" s="45">
        <f>IFERROR(AVERAGE(Data!L531), "  ")</f>
        <v>883.66666666666663</v>
      </c>
    </row>
    <row r="527" spans="1:12" x14ac:dyDescent="0.2">
      <c r="A527" s="43">
        <f>Data!A532</f>
        <v>42315</v>
      </c>
      <c r="B527" s="42">
        <f>IFERROR(AVERAGE(Data!B532), "  ")</f>
        <v>315</v>
      </c>
      <c r="C527" s="42">
        <f>IFERROR(AVERAGE(Data!C532), "  ")</f>
        <v>24</v>
      </c>
      <c r="D527" s="42">
        <f>IFERROR(AVERAGE(Data!D532), "  ")</f>
        <v>149</v>
      </c>
      <c r="E527" s="42">
        <f>IFERROR(AVERAGE(Data!E532), "  ")</f>
        <v>488</v>
      </c>
      <c r="F527" s="42">
        <f>IFERROR(AVERAGE(Data!F532), "  ")</f>
        <v>775</v>
      </c>
      <c r="G527" s="42">
        <f>IFERROR(AVERAGE(Data!G532), "  ")</f>
        <v>287</v>
      </c>
      <c r="H527" s="44">
        <f>IFERROR(AVERAGE(Data!H532), "  ")</f>
        <v>6.6024759284731768E-2</v>
      </c>
      <c r="I527" s="44">
        <f>IFERROR(AVERAGE(Data!I532), "  ")</f>
        <v>-0.13780918727915195</v>
      </c>
      <c r="J527" s="42">
        <f>IFERROR(AVERAGE(Data!J532), "  ")</f>
        <v>-78</v>
      </c>
      <c r="K527" s="44">
        <f>IFERROR(AVERAGE(Data!K532), "  ")</f>
        <v>-0.20594262295081966</v>
      </c>
      <c r="L527" s="45">
        <f>IFERROR(AVERAGE(Data!L532), "  ")</f>
        <v>913.66666666666663</v>
      </c>
    </row>
    <row r="528" spans="1:12" x14ac:dyDescent="0.2">
      <c r="A528" s="43">
        <f>Data!A533</f>
        <v>42322</v>
      </c>
      <c r="B528" s="42">
        <f>IFERROR(AVERAGE(Data!B533), "  ")</f>
        <v>289</v>
      </c>
      <c r="C528" s="42">
        <f>IFERROR(AVERAGE(Data!C533), "  ")</f>
        <v>50</v>
      </c>
      <c r="D528" s="42">
        <f>IFERROR(AVERAGE(Data!D533), "  ")</f>
        <v>150</v>
      </c>
      <c r="E528" s="42">
        <f>IFERROR(AVERAGE(Data!E533), "  ")</f>
        <v>489</v>
      </c>
      <c r="F528" s="42">
        <f>IFERROR(AVERAGE(Data!F533), "  ")</f>
        <v>1069</v>
      </c>
      <c r="G528" s="42">
        <f>IFERROR(AVERAGE(Data!G533), "  ")</f>
        <v>580</v>
      </c>
      <c r="H528" s="44">
        <f>IFERROR(AVERAGE(Data!H533), "  ")</f>
        <v>0.3793548387096774</v>
      </c>
      <c r="I528" s="44">
        <f>IFERROR(AVERAGE(Data!I533), "  ")</f>
        <v>2.0491803278688526E-3</v>
      </c>
      <c r="J528" s="42">
        <f>IFERROR(AVERAGE(Data!J533), "  ")</f>
        <v>1</v>
      </c>
      <c r="K528" s="44">
        <f>IFERROR(AVERAGE(Data!K533), "  ")</f>
        <v>4.9067713444553483E-2</v>
      </c>
      <c r="L528" s="45">
        <f>IFERROR(AVERAGE(Data!L533), "  ")</f>
        <v>957</v>
      </c>
    </row>
    <row r="529" spans="1:12" x14ac:dyDescent="0.2">
      <c r="A529" s="43">
        <f>Data!A534</f>
        <v>42329</v>
      </c>
      <c r="B529" s="42">
        <f>IFERROR(AVERAGE(Data!B534), "  ")</f>
        <v>356</v>
      </c>
      <c r="C529" s="42">
        <f>IFERROR(AVERAGE(Data!C534), "  ")</f>
        <v>37</v>
      </c>
      <c r="D529" s="42">
        <f>IFERROR(AVERAGE(Data!D534), "  ")</f>
        <v>126</v>
      </c>
      <c r="E529" s="42">
        <f>IFERROR(AVERAGE(Data!E534), "  ")</f>
        <v>519</v>
      </c>
      <c r="F529" s="42">
        <f>IFERROR(AVERAGE(Data!F534), "  ")</f>
        <v>1020</v>
      </c>
      <c r="G529" s="42">
        <f>IFERROR(AVERAGE(Data!G534), "  ")</f>
        <v>501</v>
      </c>
      <c r="H529" s="44">
        <f>IFERROR(AVERAGE(Data!H534), "  ")</f>
        <v>-4.5837231057062673E-2</v>
      </c>
      <c r="I529" s="44">
        <f>IFERROR(AVERAGE(Data!I534), "  ")</f>
        <v>6.1349693251533742E-2</v>
      </c>
      <c r="J529" s="42">
        <f>IFERROR(AVERAGE(Data!J534), "  ")</f>
        <v>30</v>
      </c>
      <c r="K529" s="44">
        <f>IFERROR(AVERAGE(Data!K534), "  ")</f>
        <v>7.5949367088607597E-2</v>
      </c>
      <c r="L529" s="45">
        <f>IFERROR(AVERAGE(Data!L534), "  ")</f>
        <v>836.66666666666663</v>
      </c>
    </row>
    <row r="530" spans="1:12" x14ac:dyDescent="0.2">
      <c r="A530" s="43">
        <f>Data!A535</f>
        <v>42336</v>
      </c>
      <c r="B530" s="42">
        <f>IFERROR(AVERAGE(Data!B535), "  ")</f>
        <v>481</v>
      </c>
      <c r="C530" s="42">
        <f>IFERROR(AVERAGE(Data!C535), "  ")</f>
        <v>64</v>
      </c>
      <c r="D530" s="42">
        <f>IFERROR(AVERAGE(Data!D535), "  ")</f>
        <v>133</v>
      </c>
      <c r="E530" s="42">
        <f>IFERROR(AVERAGE(Data!E535), "  ")</f>
        <v>678</v>
      </c>
      <c r="F530" s="42">
        <f>IFERROR(AVERAGE(Data!F535), "  ")</f>
        <v>1051</v>
      </c>
      <c r="G530" s="42">
        <f>IFERROR(AVERAGE(Data!G535), "  ")</f>
        <v>373</v>
      </c>
      <c r="H530" s="44">
        <f>IFERROR(AVERAGE(Data!H535), "  ")</f>
        <v>3.0392156862745098E-2</v>
      </c>
      <c r="I530" s="44">
        <f>IFERROR(AVERAGE(Data!I535), "  ")</f>
        <v>0.30635838150289019</v>
      </c>
      <c r="J530" s="42">
        <f>IFERROR(AVERAGE(Data!J535), "  ")</f>
        <v>159</v>
      </c>
      <c r="K530" s="44">
        <f>IFERROR(AVERAGE(Data!K535), "  ")</f>
        <v>0.14863387978142076</v>
      </c>
      <c r="L530" s="45">
        <f>IFERROR(AVERAGE(Data!L535), "  ")</f>
        <v>796.33333333333337</v>
      </c>
    </row>
    <row r="531" spans="1:12" x14ac:dyDescent="0.2">
      <c r="A531" s="43">
        <f>Data!A536</f>
        <v>42343</v>
      </c>
      <c r="B531" s="42">
        <f>IFERROR(AVERAGE(Data!B536), "  ")</f>
        <v>412</v>
      </c>
      <c r="C531" s="42">
        <f>IFERROR(AVERAGE(Data!C536), "  ")</f>
        <v>11</v>
      </c>
      <c r="D531" s="42">
        <f>IFERROR(AVERAGE(Data!D536), "  ")</f>
        <v>73</v>
      </c>
      <c r="E531" s="42">
        <f>IFERROR(AVERAGE(Data!E536), "  ")</f>
        <v>496</v>
      </c>
      <c r="F531" s="42">
        <f>IFERROR(AVERAGE(Data!F536), "  ")</f>
        <v>864</v>
      </c>
      <c r="G531" s="42">
        <f>IFERROR(AVERAGE(Data!G536), "  ")</f>
        <v>368</v>
      </c>
      <c r="H531" s="44">
        <f>IFERROR(AVERAGE(Data!H536), "  ")</f>
        <v>-0.17792578496669839</v>
      </c>
      <c r="I531" s="44">
        <f>IFERROR(AVERAGE(Data!I536), "  ")</f>
        <v>-0.26843657817109146</v>
      </c>
      <c r="J531" s="42">
        <f>IFERROR(AVERAGE(Data!J536), "  ")</f>
        <v>-182</v>
      </c>
      <c r="K531" s="44">
        <f>IFERROR(AVERAGE(Data!K536), "  ")</f>
        <v>0.11196911196911197</v>
      </c>
      <c r="L531" s="45">
        <f>IFERROR(AVERAGE(Data!L536), "  ")</f>
        <v>775</v>
      </c>
    </row>
    <row r="532" spans="1:12" x14ac:dyDescent="0.2">
      <c r="A532" s="43">
        <f>Data!A537</f>
        <v>42350</v>
      </c>
      <c r="B532" s="42">
        <f>IFERROR(AVERAGE(Data!B537), "  ")</f>
        <v>378</v>
      </c>
      <c r="C532" s="42">
        <f>IFERROR(AVERAGE(Data!C537), "  ")</f>
        <v>37</v>
      </c>
      <c r="D532" s="42">
        <f>IFERROR(AVERAGE(Data!D537), "  ")</f>
        <v>113</v>
      </c>
      <c r="E532" s="42">
        <f>IFERROR(AVERAGE(Data!E537), "  ")</f>
        <v>528</v>
      </c>
      <c r="F532" s="42">
        <f>IFERROR(AVERAGE(Data!F537), "  ")</f>
        <v>957</v>
      </c>
      <c r="G532" s="42">
        <f>IFERROR(AVERAGE(Data!G537), "  ")</f>
        <v>429</v>
      </c>
      <c r="H532" s="44">
        <f>IFERROR(AVERAGE(Data!H537), "  ")</f>
        <v>0.1076388888888889</v>
      </c>
      <c r="I532" s="44">
        <f>IFERROR(AVERAGE(Data!I537), "  ")</f>
        <v>6.4516129032258063E-2</v>
      </c>
      <c r="J532" s="42">
        <f>IFERROR(AVERAGE(Data!J537), "  ")</f>
        <v>32</v>
      </c>
      <c r="K532" s="44">
        <f>IFERROR(AVERAGE(Data!K537), "  ")</f>
        <v>-1.0341261633919338E-2</v>
      </c>
      <c r="L532" s="45">
        <f>IFERROR(AVERAGE(Data!L537), "  ")</f>
        <v>799.66666666666663</v>
      </c>
    </row>
    <row r="533" spans="1:12" x14ac:dyDescent="0.2">
      <c r="A533" s="43">
        <f>Data!A538</f>
        <v>42357</v>
      </c>
      <c r="B533" s="42">
        <f>IFERROR(AVERAGE(Data!B538), "  ")</f>
        <v>403</v>
      </c>
      <c r="C533" s="42">
        <f>IFERROR(AVERAGE(Data!C538), "  ")</f>
        <v>17</v>
      </c>
      <c r="D533" s="42">
        <f>IFERROR(AVERAGE(Data!D538), "  ")</f>
        <v>194</v>
      </c>
      <c r="E533" s="42">
        <f>IFERROR(AVERAGE(Data!E538), "  ")</f>
        <v>614</v>
      </c>
      <c r="F533" s="42">
        <f>IFERROR(AVERAGE(Data!F538), "  ")</f>
        <v>978</v>
      </c>
      <c r="G533" s="42">
        <f>IFERROR(AVERAGE(Data!G538), "  ")</f>
        <v>364</v>
      </c>
      <c r="H533" s="44">
        <f>IFERROR(AVERAGE(Data!H538), "  ")</f>
        <v>2.1943573667711599E-2</v>
      </c>
      <c r="I533" s="44">
        <f>IFERROR(AVERAGE(Data!I538), "  ")</f>
        <v>0.16287878787878787</v>
      </c>
      <c r="J533" s="42">
        <f>IFERROR(AVERAGE(Data!J538), "  ")</f>
        <v>86</v>
      </c>
      <c r="K533" s="44">
        <f>IFERROR(AVERAGE(Data!K538), "  ")</f>
        <v>5.6155507559395246E-2</v>
      </c>
      <c r="L533" s="45">
        <f>IFERROR(AVERAGE(Data!L538), "  ")</f>
        <v>831</v>
      </c>
    </row>
    <row r="534" spans="1:12" x14ac:dyDescent="0.2">
      <c r="A534" s="43">
        <f>Data!A539</f>
        <v>42364</v>
      </c>
      <c r="B534" s="42">
        <f>IFERROR(AVERAGE(Data!B539), "  ")</f>
        <v>317</v>
      </c>
      <c r="C534" s="42">
        <f>IFERROR(AVERAGE(Data!C539), "  ")</f>
        <v>47</v>
      </c>
      <c r="D534" s="42">
        <f>IFERROR(AVERAGE(Data!D539), "  ")</f>
        <v>149</v>
      </c>
      <c r="E534" s="42">
        <f>IFERROR(AVERAGE(Data!E539), "  ")</f>
        <v>513</v>
      </c>
      <c r="F534" s="42">
        <f>IFERROR(AVERAGE(Data!F539), "  ")</f>
        <v>618</v>
      </c>
      <c r="G534" s="42">
        <f>IFERROR(AVERAGE(Data!G539), "  ")</f>
        <v>105</v>
      </c>
      <c r="H534" s="44">
        <f>IFERROR(AVERAGE(Data!H539), "  ")</f>
        <v>-0.36809815950920244</v>
      </c>
      <c r="I534" s="44">
        <f>IFERROR(AVERAGE(Data!I539), "  ")</f>
        <v>-0.16449511400651465</v>
      </c>
      <c r="J534" s="42">
        <f>IFERROR(AVERAGE(Data!J539), "  ")</f>
        <v>-101</v>
      </c>
      <c r="K534" s="44">
        <f>IFERROR(AVERAGE(Data!K539), "  ")</f>
        <v>0.29018789144050106</v>
      </c>
      <c r="L534" s="45">
        <f>IFERROR(AVERAGE(Data!L539), "  ")</f>
        <v>583.33333333333337</v>
      </c>
    </row>
    <row r="535" spans="1:12" x14ac:dyDescent="0.2">
      <c r="A535" s="43">
        <f>Data!A540</f>
        <v>42371</v>
      </c>
      <c r="B535" s="42">
        <f>IFERROR(AVERAGE(Data!B540), "  ")</f>
        <v>61</v>
      </c>
      <c r="C535" s="42">
        <f>IFERROR(AVERAGE(Data!C540), "  ")</f>
        <v>0</v>
      </c>
      <c r="D535" s="42">
        <f>IFERROR(AVERAGE(Data!D540), "  ")</f>
        <v>150</v>
      </c>
      <c r="E535" s="42">
        <f>IFERROR(AVERAGE(Data!E540), "  ")</f>
        <v>211</v>
      </c>
      <c r="F535" s="42">
        <f>IFERROR(AVERAGE(Data!F540), "  ")</f>
        <v>813</v>
      </c>
      <c r="G535" s="42">
        <f>IFERROR(AVERAGE(Data!G540), "  ")</f>
        <v>602</v>
      </c>
      <c r="H535" s="44">
        <f>IFERROR(AVERAGE(Data!H540), "  ")</f>
        <v>0.3155339805825243</v>
      </c>
      <c r="I535" s="44">
        <f>IFERROR(AVERAGE(Data!I540), "  ")</f>
        <v>-0.58869395711500971</v>
      </c>
      <c r="J535" s="42">
        <f>IFERROR(AVERAGE(Data!J540), "  ")</f>
        <v>-302</v>
      </c>
      <c r="K535" s="44">
        <f>IFERROR(AVERAGE(Data!K540), "  ")</f>
        <v>0.3155339805825243</v>
      </c>
      <c r="L535" s="45">
        <f>IFERROR(AVERAGE(Data!L540), "  ")</f>
        <v>619.66666666666663</v>
      </c>
    </row>
    <row r="536" spans="1:12" x14ac:dyDescent="0.2">
      <c r="A536" s="43">
        <f>Data!A541</f>
        <v>42378</v>
      </c>
      <c r="B536" s="42">
        <f>IFERROR(AVERAGE(Data!B541), "  ")</f>
        <v>135</v>
      </c>
      <c r="C536" s="42">
        <f>IFERROR(AVERAGE(Data!C541), "  ")</f>
        <v>0</v>
      </c>
      <c r="D536" s="42">
        <f>IFERROR(AVERAGE(Data!D541), "  ")</f>
        <v>127</v>
      </c>
      <c r="E536" s="42">
        <f>IFERROR(AVERAGE(Data!E541), "  ")</f>
        <v>262</v>
      </c>
      <c r="F536" s="42">
        <f>IFERROR(AVERAGE(Data!F541), "  ")</f>
        <v>802</v>
      </c>
      <c r="G536" s="42">
        <f>IFERROR(AVERAGE(Data!G541), "  ")</f>
        <v>540</v>
      </c>
      <c r="H536" s="44">
        <f>IFERROR(AVERAGE(Data!H541), "  ")</f>
        <v>-1.3530135301353014E-2</v>
      </c>
      <c r="I536" s="44">
        <f>IFERROR(AVERAGE(Data!I541), "  ")</f>
        <v>0.24170616113744076</v>
      </c>
      <c r="J536" s="42">
        <f>IFERROR(AVERAGE(Data!J541), "  ")</f>
        <v>51</v>
      </c>
      <c r="K536" s="44">
        <f>IFERROR(AVERAGE(Data!K541), "  ")</f>
        <v>-0.17319587628865979</v>
      </c>
      <c r="L536" s="45">
        <f>IFERROR(AVERAGE(Data!L541), "  ")</f>
        <v>742.66666666666663</v>
      </c>
    </row>
    <row r="537" spans="1:12" x14ac:dyDescent="0.2">
      <c r="A537" s="43">
        <f>Data!A542</f>
        <v>42385</v>
      </c>
      <c r="B537" s="42">
        <f>IFERROR(AVERAGE(Data!B542), "  ")</f>
        <v>123</v>
      </c>
      <c r="C537" s="42">
        <f>IFERROR(AVERAGE(Data!C542), "  ")</f>
        <v>0</v>
      </c>
      <c r="D537" s="42">
        <f>IFERROR(AVERAGE(Data!D542), "  ")</f>
        <v>237</v>
      </c>
      <c r="E537" s="42">
        <f>IFERROR(AVERAGE(Data!E542), "  ")</f>
        <v>360</v>
      </c>
      <c r="F537" s="42">
        <f>IFERROR(AVERAGE(Data!F542), "  ")</f>
        <v>666</v>
      </c>
      <c r="G537" s="42">
        <f>IFERROR(AVERAGE(Data!G542), "  ")</f>
        <v>306</v>
      </c>
      <c r="H537" s="44">
        <f>IFERROR(AVERAGE(Data!H542), "  ")</f>
        <v>-0.16957605985037408</v>
      </c>
      <c r="I537" s="44">
        <f>IFERROR(AVERAGE(Data!I542), "  ")</f>
        <v>0.37404580152671757</v>
      </c>
      <c r="J537" s="42">
        <f>IFERROR(AVERAGE(Data!J542), "  ")</f>
        <v>98</v>
      </c>
      <c r="K537" s="44">
        <f>IFERROR(AVERAGE(Data!K542), "  ")</f>
        <v>-0.21739130434782608</v>
      </c>
      <c r="L537" s="45">
        <f>IFERROR(AVERAGE(Data!L542), "  ")</f>
        <v>770.33333333333337</v>
      </c>
    </row>
    <row r="538" spans="1:12" x14ac:dyDescent="0.2">
      <c r="A538" s="43">
        <f>Data!A543</f>
        <v>42392</v>
      </c>
      <c r="B538" s="42">
        <f>IFERROR(AVERAGE(Data!B543), "  ")</f>
        <v>184</v>
      </c>
      <c r="C538" s="42">
        <f>IFERROR(AVERAGE(Data!C543), "  ")</f>
        <v>20</v>
      </c>
      <c r="D538" s="42">
        <f>IFERROR(AVERAGE(Data!D543), "  ")</f>
        <v>178</v>
      </c>
      <c r="E538" s="42">
        <f>IFERROR(AVERAGE(Data!E543), "  ")</f>
        <v>382</v>
      </c>
      <c r="F538" s="42">
        <f>IFERROR(AVERAGE(Data!F543), "  ")</f>
        <v>630</v>
      </c>
      <c r="G538" s="42">
        <f>IFERROR(AVERAGE(Data!G543), "  ")</f>
        <v>248</v>
      </c>
      <c r="H538" s="44">
        <f>IFERROR(AVERAGE(Data!H543), "  ")</f>
        <v>-5.4054054054054057E-2</v>
      </c>
      <c r="I538" s="44">
        <f>IFERROR(AVERAGE(Data!I543), "  ")</f>
        <v>6.1111111111111109E-2</v>
      </c>
      <c r="J538" s="42">
        <f>IFERROR(AVERAGE(Data!J543), "  ")</f>
        <v>22</v>
      </c>
      <c r="K538" s="44">
        <f>IFERROR(AVERAGE(Data!K543), "  ")</f>
        <v>-0.21249999999999999</v>
      </c>
      <c r="L538" s="45">
        <f>IFERROR(AVERAGE(Data!L543), "  ")</f>
        <v>738</v>
      </c>
    </row>
    <row r="539" spans="1:12" x14ac:dyDescent="0.2">
      <c r="A539" s="43">
        <f>Data!A544</f>
        <v>42399</v>
      </c>
      <c r="B539" s="42">
        <f>IFERROR(AVERAGE(Data!B544), "  ")</f>
        <v>244</v>
      </c>
      <c r="C539" s="42">
        <f>IFERROR(AVERAGE(Data!C544), "  ")</f>
        <v>27</v>
      </c>
      <c r="D539" s="42">
        <f>IFERROR(AVERAGE(Data!D544), "  ")</f>
        <v>188</v>
      </c>
      <c r="E539" s="42">
        <f>IFERROR(AVERAGE(Data!E544), "  ")</f>
        <v>459</v>
      </c>
      <c r="F539" s="42">
        <f>IFERROR(AVERAGE(Data!F544), "  ")</f>
        <v>531</v>
      </c>
      <c r="G539" s="42">
        <f>IFERROR(AVERAGE(Data!G544), "  ")</f>
        <v>72</v>
      </c>
      <c r="H539" s="44">
        <f>IFERROR(AVERAGE(Data!H544), "  ")</f>
        <v>-0.15714285714285714</v>
      </c>
      <c r="I539" s="44">
        <f>IFERROR(AVERAGE(Data!I544), "  ")</f>
        <v>0.20157068062827224</v>
      </c>
      <c r="J539" s="42">
        <f>IFERROR(AVERAGE(Data!J544), "  ")</f>
        <v>77</v>
      </c>
      <c r="K539" s="44">
        <f>IFERROR(AVERAGE(Data!K544), "  ")</f>
        <v>-0.32528589580686151</v>
      </c>
      <c r="L539" s="45">
        <f>IFERROR(AVERAGE(Data!L544), "  ")</f>
        <v>660.66666666666663</v>
      </c>
    </row>
    <row r="540" spans="1:12" x14ac:dyDescent="0.2">
      <c r="A540" s="43">
        <f>Data!A545</f>
        <v>42406</v>
      </c>
      <c r="B540" s="42">
        <f>IFERROR(AVERAGE(Data!B545), "  ")</f>
        <v>359</v>
      </c>
      <c r="C540" s="42">
        <f>IFERROR(AVERAGE(Data!C545), "  ")</f>
        <v>45</v>
      </c>
      <c r="D540" s="42">
        <f>IFERROR(AVERAGE(Data!D545), "  ")</f>
        <v>210</v>
      </c>
      <c r="E540" s="42">
        <f>IFERROR(AVERAGE(Data!E545), "  ")</f>
        <v>614</v>
      </c>
      <c r="F540" s="42">
        <f>IFERROR(AVERAGE(Data!F545), "  ")</f>
        <v>695</v>
      </c>
      <c r="G540" s="42">
        <f>IFERROR(AVERAGE(Data!G545), "  ")</f>
        <v>81</v>
      </c>
      <c r="H540" s="44">
        <f>IFERROR(AVERAGE(Data!H545), "  ")</f>
        <v>0.3088512241054614</v>
      </c>
      <c r="I540" s="44">
        <f>IFERROR(AVERAGE(Data!I545), "  ")</f>
        <v>0.33769063180827885</v>
      </c>
      <c r="J540" s="42">
        <f>IFERROR(AVERAGE(Data!J545), "  ")</f>
        <v>155</v>
      </c>
      <c r="K540" s="44">
        <f>IFERROR(AVERAGE(Data!K545), "  ")</f>
        <v>-0.13985148514851486</v>
      </c>
      <c r="L540" s="45">
        <f>IFERROR(AVERAGE(Data!L545), "  ")</f>
        <v>704.33333333333337</v>
      </c>
    </row>
    <row r="541" spans="1:12" x14ac:dyDescent="0.2">
      <c r="A541" s="43">
        <f>Data!A546</f>
        <v>42413</v>
      </c>
      <c r="B541" s="42">
        <f>IFERROR(AVERAGE(Data!B546), "  ")</f>
        <v>201</v>
      </c>
      <c r="C541" s="42">
        <f>IFERROR(AVERAGE(Data!C546), "  ")</f>
        <v>83</v>
      </c>
      <c r="D541" s="42">
        <f>IFERROR(AVERAGE(Data!D546), "  ")</f>
        <v>179</v>
      </c>
      <c r="E541" s="42">
        <f>IFERROR(AVERAGE(Data!E546), "  ")</f>
        <v>463</v>
      </c>
      <c r="F541" s="42">
        <f>IFERROR(AVERAGE(Data!F546), "  ")</f>
        <v>842</v>
      </c>
      <c r="G541" s="42">
        <f>IFERROR(AVERAGE(Data!G546), "  ")</f>
        <v>379</v>
      </c>
      <c r="H541" s="44">
        <f>IFERROR(AVERAGE(Data!H546), "  ")</f>
        <v>0.21151079136690648</v>
      </c>
      <c r="I541" s="44">
        <f>IFERROR(AVERAGE(Data!I546), "  ")</f>
        <v>-0.24592833876221498</v>
      </c>
      <c r="J541" s="42">
        <f>IFERROR(AVERAGE(Data!J546), "  ")</f>
        <v>-151</v>
      </c>
      <c r="K541" s="44">
        <f>IFERROR(AVERAGE(Data!K546), "  ")</f>
        <v>-1.5204678362573099E-2</v>
      </c>
      <c r="L541" s="45">
        <f>IFERROR(AVERAGE(Data!L546), "  ")</f>
        <v>697.33333333333337</v>
      </c>
    </row>
    <row r="542" spans="1:12" x14ac:dyDescent="0.2">
      <c r="A542" s="43">
        <f>Data!A547</f>
        <v>42420</v>
      </c>
      <c r="B542" s="42">
        <f>IFERROR(AVERAGE(Data!B547), "  ")</f>
        <v>134</v>
      </c>
      <c r="C542" s="42">
        <f>IFERROR(AVERAGE(Data!C547), "  ")</f>
        <v>38</v>
      </c>
      <c r="D542" s="42">
        <f>IFERROR(AVERAGE(Data!D547), "  ")</f>
        <v>62</v>
      </c>
      <c r="E542" s="42">
        <f>IFERROR(AVERAGE(Data!E547), "  ")</f>
        <v>234</v>
      </c>
      <c r="F542" s="42">
        <f>IFERROR(AVERAGE(Data!F547), "  ")</f>
        <v>855</v>
      </c>
      <c r="G542" s="42">
        <f>IFERROR(AVERAGE(Data!G547), "  ")</f>
        <v>621</v>
      </c>
      <c r="H542" s="44">
        <f>IFERROR(AVERAGE(Data!H547), "  ")</f>
        <v>1.5439429928741092E-2</v>
      </c>
      <c r="I542" s="44">
        <f>IFERROR(AVERAGE(Data!I547), "  ")</f>
        <v>-0.49460043196544279</v>
      </c>
      <c r="J542" s="42">
        <f>IFERROR(AVERAGE(Data!J547), "  ")</f>
        <v>-229</v>
      </c>
      <c r="K542" s="44">
        <f>IFERROR(AVERAGE(Data!K547), "  ")</f>
        <v>0.23554913294797689</v>
      </c>
      <c r="L542" s="45">
        <f>IFERROR(AVERAGE(Data!L547), "  ")</f>
        <v>700</v>
      </c>
    </row>
    <row r="543" spans="1:12" x14ac:dyDescent="0.2">
      <c r="A543" s="43">
        <f>Data!A548</f>
        <v>42427</v>
      </c>
      <c r="B543" s="42">
        <f>IFERROR(AVERAGE(Data!B548), "  ")</f>
        <v>118</v>
      </c>
      <c r="C543" s="42">
        <f>IFERROR(AVERAGE(Data!C548), "  ")</f>
        <v>49</v>
      </c>
      <c r="D543" s="42">
        <f>IFERROR(AVERAGE(Data!D548), "  ")</f>
        <v>114</v>
      </c>
      <c r="E543" s="42">
        <f>IFERROR(AVERAGE(Data!E548), "  ")</f>
        <v>281</v>
      </c>
      <c r="F543" s="42">
        <f>IFERROR(AVERAGE(Data!F548), "  ")</f>
        <v>734</v>
      </c>
      <c r="G543" s="42">
        <f>IFERROR(AVERAGE(Data!G548), "  ")</f>
        <v>453</v>
      </c>
      <c r="H543" s="44">
        <f>IFERROR(AVERAGE(Data!H548), "  ")</f>
        <v>-0.1415204678362573</v>
      </c>
      <c r="I543" s="44">
        <f>IFERROR(AVERAGE(Data!I548), "  ")</f>
        <v>0.20085470085470086</v>
      </c>
      <c r="J543" s="42">
        <f>IFERROR(AVERAGE(Data!J548), "  ")</f>
        <v>47</v>
      </c>
      <c r="K543" s="44">
        <f>IFERROR(AVERAGE(Data!K548), "  ")</f>
        <v>2.7322404371584699E-3</v>
      </c>
      <c r="L543" s="45">
        <f>IFERROR(AVERAGE(Data!L548), "  ")</f>
        <v>646</v>
      </c>
    </row>
    <row r="544" spans="1:12" x14ac:dyDescent="0.2">
      <c r="A544" s="43">
        <f>Data!A549</f>
        <v>42434</v>
      </c>
      <c r="B544" s="42">
        <f>IFERROR(AVERAGE(Data!B549), "  ")</f>
        <v>120</v>
      </c>
      <c r="C544" s="42">
        <f>IFERROR(AVERAGE(Data!C549), "  ")</f>
        <v>25</v>
      </c>
      <c r="D544" s="42">
        <f>IFERROR(AVERAGE(Data!D549), "  ")</f>
        <v>122</v>
      </c>
      <c r="E544" s="42">
        <f>IFERROR(AVERAGE(Data!E549), "  ")</f>
        <v>267</v>
      </c>
      <c r="F544" s="42">
        <f>IFERROR(AVERAGE(Data!F549), "  ")</f>
        <v>795</v>
      </c>
      <c r="G544" s="42">
        <f>IFERROR(AVERAGE(Data!G549), "  ")</f>
        <v>528</v>
      </c>
      <c r="H544" s="44">
        <f>IFERROR(AVERAGE(Data!H549), "  ")</f>
        <v>8.3106267029972758E-2</v>
      </c>
      <c r="I544" s="44">
        <f>IFERROR(AVERAGE(Data!I549), "  ")</f>
        <v>-4.9822064056939501E-2</v>
      </c>
      <c r="J544" s="42">
        <f>IFERROR(AVERAGE(Data!J549), "  ")</f>
        <v>-14</v>
      </c>
      <c r="K544" s="44">
        <f>IFERROR(AVERAGE(Data!K549), "  ")</f>
        <v>0.52591170825335898</v>
      </c>
      <c r="L544" s="45">
        <f>IFERROR(AVERAGE(Data!L549), "  ")</f>
        <v>530.66666666666663</v>
      </c>
    </row>
    <row r="545" spans="1:12" x14ac:dyDescent="0.2">
      <c r="A545" s="43">
        <f>Data!A550</f>
        <v>42441</v>
      </c>
      <c r="B545" s="42">
        <f>IFERROR(AVERAGE(Data!B550), "  ")</f>
        <v>112</v>
      </c>
      <c r="C545" s="42">
        <f>IFERROR(AVERAGE(Data!C550), "  ")</f>
        <v>39</v>
      </c>
      <c r="D545" s="42">
        <f>IFERROR(AVERAGE(Data!D550), "  ")</f>
        <v>150</v>
      </c>
      <c r="E545" s="42">
        <f>IFERROR(AVERAGE(Data!E550), "  ")</f>
        <v>301</v>
      </c>
      <c r="F545" s="42">
        <f>IFERROR(AVERAGE(Data!F550), "  ")</f>
        <v>530</v>
      </c>
      <c r="G545" s="42">
        <f>IFERROR(AVERAGE(Data!G550), "  ")</f>
        <v>229</v>
      </c>
      <c r="H545" s="44">
        <f>IFERROR(AVERAGE(Data!H550), "  ")</f>
        <v>-0.33333333333333331</v>
      </c>
      <c r="I545" s="44">
        <f>IFERROR(AVERAGE(Data!I550), "  ")</f>
        <v>0.12734082397003746</v>
      </c>
      <c r="J545" s="42">
        <f>IFERROR(AVERAGE(Data!J550), "  ")</f>
        <v>34</v>
      </c>
      <c r="K545" s="44">
        <f>IFERROR(AVERAGE(Data!K550), "  ")</f>
        <v>-1.3035381750465549E-2</v>
      </c>
      <c r="L545" s="45">
        <f>IFERROR(AVERAGE(Data!L550), "  ")</f>
        <v>570.33333333333337</v>
      </c>
    </row>
    <row r="546" spans="1:12" x14ac:dyDescent="0.2">
      <c r="A546" s="43">
        <f>Data!A551</f>
        <v>42448</v>
      </c>
      <c r="B546" s="42">
        <f>IFERROR(AVERAGE(Data!B551), "  ")</f>
        <v>216</v>
      </c>
      <c r="C546" s="42">
        <f>IFERROR(AVERAGE(Data!C551), "  ")</f>
        <v>34</v>
      </c>
      <c r="D546" s="42">
        <f>IFERROR(AVERAGE(Data!D551), "  ")</f>
        <v>77</v>
      </c>
      <c r="E546" s="42">
        <f>IFERROR(AVERAGE(Data!E551), "  ")</f>
        <v>327</v>
      </c>
      <c r="F546" s="42">
        <f>IFERROR(AVERAGE(Data!F551), "  ")</f>
        <v>579</v>
      </c>
      <c r="G546" s="42">
        <f>IFERROR(AVERAGE(Data!G551), "  ")</f>
        <v>252</v>
      </c>
      <c r="H546" s="44">
        <f>IFERROR(AVERAGE(Data!H551), "  ")</f>
        <v>9.2452830188679239E-2</v>
      </c>
      <c r="I546" s="44">
        <f>IFERROR(AVERAGE(Data!I551), "  ")</f>
        <v>8.6378737541528236E-2</v>
      </c>
      <c r="J546" s="42">
        <f>IFERROR(AVERAGE(Data!J551), "  ")</f>
        <v>26</v>
      </c>
      <c r="K546" s="44">
        <f>IFERROR(AVERAGE(Data!K551), "  ")</f>
        <v>0.21383647798742139</v>
      </c>
      <c r="L546" s="45">
        <f>IFERROR(AVERAGE(Data!L551), "  ")</f>
        <v>543.66666666666663</v>
      </c>
    </row>
    <row r="547" spans="1:12" x14ac:dyDescent="0.2">
      <c r="A547" s="43">
        <f>Data!A552</f>
        <v>42455</v>
      </c>
      <c r="B547" s="42">
        <f>IFERROR(AVERAGE(Data!B552), "  ")</f>
        <v>347</v>
      </c>
      <c r="C547" s="42">
        <f>IFERROR(AVERAGE(Data!C552), "  ")</f>
        <v>38</v>
      </c>
      <c r="D547" s="42">
        <f>IFERROR(AVERAGE(Data!D552), "  ")</f>
        <v>115</v>
      </c>
      <c r="E547" s="42">
        <f>IFERROR(AVERAGE(Data!E552), "  ")</f>
        <v>500</v>
      </c>
      <c r="F547" s="42">
        <f>IFERROR(AVERAGE(Data!F552), "  ")</f>
        <v>485</v>
      </c>
      <c r="G547" s="42">
        <f>IFERROR(AVERAGE(Data!G552), "  ")</f>
        <v>-15</v>
      </c>
      <c r="H547" s="44">
        <f>IFERROR(AVERAGE(Data!H552), "  ")</f>
        <v>-0.16234887737478412</v>
      </c>
      <c r="I547" s="44">
        <f>IFERROR(AVERAGE(Data!I552), "  ")</f>
        <v>0.52905198776758411</v>
      </c>
      <c r="J547" s="42">
        <f>IFERROR(AVERAGE(Data!J552), "  ")</f>
        <v>173</v>
      </c>
      <c r="K547" s="44">
        <f>IFERROR(AVERAGE(Data!K552), "  ")</f>
        <v>-0.22150882825040127</v>
      </c>
      <c r="L547" s="45">
        <f>IFERROR(AVERAGE(Data!L552), "  ")</f>
        <v>582.33333333333337</v>
      </c>
    </row>
    <row r="548" spans="1:12" x14ac:dyDescent="0.2">
      <c r="A548" s="43">
        <f>Data!A553</f>
        <v>42462</v>
      </c>
      <c r="B548" s="42">
        <f>IFERROR(AVERAGE(Data!B553), "  ")</f>
        <v>260</v>
      </c>
      <c r="C548" s="42">
        <f>IFERROR(AVERAGE(Data!C553), "  ")</f>
        <v>29</v>
      </c>
      <c r="D548" s="42">
        <f>IFERROR(AVERAGE(Data!D553), "  ")</f>
        <v>94</v>
      </c>
      <c r="E548" s="42">
        <f>IFERROR(AVERAGE(Data!E553), "  ")</f>
        <v>383</v>
      </c>
      <c r="F548" s="42">
        <f>IFERROR(AVERAGE(Data!F553), "  ")</f>
        <v>525</v>
      </c>
      <c r="G548" s="42">
        <f>IFERROR(AVERAGE(Data!G553), "  ")</f>
        <v>142</v>
      </c>
      <c r="H548" s="44">
        <f>IFERROR(AVERAGE(Data!H553), "  ")</f>
        <v>8.247422680412371E-2</v>
      </c>
      <c r="I548" s="44">
        <f>IFERROR(AVERAGE(Data!I553), "  ")</f>
        <v>-0.23400000000000001</v>
      </c>
      <c r="J548" s="42">
        <f>IFERROR(AVERAGE(Data!J553), "  ")</f>
        <v>-117</v>
      </c>
      <c r="K548" s="44">
        <f>IFERROR(AVERAGE(Data!K553), "  ")</f>
        <v>0.16407982261640799</v>
      </c>
      <c r="L548" s="45">
        <f>IFERROR(AVERAGE(Data!L553), "  ")</f>
        <v>490.33333333333331</v>
      </c>
    </row>
    <row r="549" spans="1:12" x14ac:dyDescent="0.2">
      <c r="A549" s="43">
        <f>Data!A554</f>
        <v>42469</v>
      </c>
      <c r="B549" s="42">
        <f>IFERROR(AVERAGE(Data!B554), "  ")</f>
        <v>307</v>
      </c>
      <c r="C549" s="42">
        <f>IFERROR(AVERAGE(Data!C554), "  ")</f>
        <v>25</v>
      </c>
      <c r="D549" s="42">
        <f>IFERROR(AVERAGE(Data!D554), "  ")</f>
        <v>107</v>
      </c>
      <c r="E549" s="42">
        <f>IFERROR(AVERAGE(Data!E554), "  ")</f>
        <v>439</v>
      </c>
      <c r="F549" s="42">
        <f>IFERROR(AVERAGE(Data!F554), "  ")</f>
        <v>645</v>
      </c>
      <c r="G549" s="42">
        <f>IFERROR(AVERAGE(Data!G554), "  ")</f>
        <v>206</v>
      </c>
      <c r="H549" s="44">
        <f>IFERROR(AVERAGE(Data!H554), "  ")</f>
        <v>0.22857142857142856</v>
      </c>
      <c r="I549" s="44">
        <f>IFERROR(AVERAGE(Data!I554), "  ")</f>
        <v>0.14621409921671019</v>
      </c>
      <c r="J549" s="42">
        <f>IFERROR(AVERAGE(Data!J554), "  ")</f>
        <v>56</v>
      </c>
      <c r="K549" s="44">
        <f>IFERROR(AVERAGE(Data!K554), "  ")</f>
        <v>0.26223091976516633</v>
      </c>
      <c r="L549" s="45">
        <f>IFERROR(AVERAGE(Data!L554), "  ")</f>
        <v>504.66666666666669</v>
      </c>
    </row>
    <row r="550" spans="1:12" x14ac:dyDescent="0.2">
      <c r="A550" s="43">
        <f>Data!A555</f>
        <v>42476</v>
      </c>
      <c r="B550" s="42">
        <f>IFERROR(AVERAGE(Data!B555), "  ")</f>
        <v>317</v>
      </c>
      <c r="C550" s="42">
        <f>IFERROR(AVERAGE(Data!C555), "  ")</f>
        <v>23</v>
      </c>
      <c r="D550" s="42">
        <f>IFERROR(AVERAGE(Data!D555), "  ")</f>
        <v>91</v>
      </c>
      <c r="E550" s="42">
        <f>IFERROR(AVERAGE(Data!E555), "  ")</f>
        <v>431</v>
      </c>
      <c r="F550" s="42">
        <f>IFERROR(AVERAGE(Data!F555), "  ")</f>
        <v>546</v>
      </c>
      <c r="G550" s="42">
        <f>IFERROR(AVERAGE(Data!G555), "  ")</f>
        <v>115</v>
      </c>
      <c r="H550" s="44">
        <f>IFERROR(AVERAGE(Data!H555), "  ")</f>
        <v>-0.15348837209302327</v>
      </c>
      <c r="I550" s="44">
        <f>IFERROR(AVERAGE(Data!I555), "  ")</f>
        <v>-1.8223234624145785E-2</v>
      </c>
      <c r="J550" s="42">
        <f>IFERROR(AVERAGE(Data!J555), "  ")</f>
        <v>-8</v>
      </c>
      <c r="K550" s="44">
        <f>IFERROR(AVERAGE(Data!K555), "  ")</f>
        <v>0.25229357798165136</v>
      </c>
      <c r="L550" s="45">
        <f>IFERROR(AVERAGE(Data!L555), "  ")</f>
        <v>479</v>
      </c>
    </row>
    <row r="551" spans="1:12" x14ac:dyDescent="0.2">
      <c r="A551" s="43">
        <f>Data!A556</f>
        <v>42483</v>
      </c>
      <c r="B551" s="42">
        <f>IFERROR(AVERAGE(Data!B556), "  ")</f>
        <v>432</v>
      </c>
      <c r="C551" s="42">
        <f>IFERROR(AVERAGE(Data!C556), "  ")</f>
        <v>16</v>
      </c>
      <c r="D551" s="42">
        <f>IFERROR(AVERAGE(Data!D556), "  ")</f>
        <v>64</v>
      </c>
      <c r="E551" s="42">
        <f>IFERROR(AVERAGE(Data!E556), "  ")</f>
        <v>512</v>
      </c>
      <c r="F551" s="42">
        <f>IFERROR(AVERAGE(Data!F556), "  ")</f>
        <v>688</v>
      </c>
      <c r="G551" s="42">
        <f>IFERROR(AVERAGE(Data!G556), "  ")</f>
        <v>176</v>
      </c>
      <c r="H551" s="44">
        <f>IFERROR(AVERAGE(Data!H556), "  ")</f>
        <v>0.26007326007326009</v>
      </c>
      <c r="I551" s="44">
        <f>IFERROR(AVERAGE(Data!I556), "  ")</f>
        <v>0.18793503480278423</v>
      </c>
      <c r="J551" s="42">
        <f>IFERROR(AVERAGE(Data!J556), "  ")</f>
        <v>81</v>
      </c>
      <c r="K551" s="44">
        <f>IFERROR(AVERAGE(Data!K556), "  ")</f>
        <v>5.0381679389312976E-2</v>
      </c>
      <c r="L551" s="45">
        <f>IFERROR(AVERAGE(Data!L556), "  ")</f>
        <v>492.33333333333331</v>
      </c>
    </row>
    <row r="552" spans="1:12" x14ac:dyDescent="0.2">
      <c r="A552" s="43">
        <f>Data!A557</f>
        <v>42490</v>
      </c>
      <c r="B552" s="42">
        <f>IFERROR(AVERAGE(Data!B557), "  ")</f>
        <v>457</v>
      </c>
      <c r="C552" s="42">
        <f>IFERROR(AVERAGE(Data!C557), "  ")</f>
        <v>37</v>
      </c>
      <c r="D552" s="42">
        <f>IFERROR(AVERAGE(Data!D557), "  ")</f>
        <v>79</v>
      </c>
      <c r="E552" s="42">
        <f>IFERROR(AVERAGE(Data!E557), "  ")</f>
        <v>573</v>
      </c>
      <c r="F552" s="42">
        <f>IFERROR(AVERAGE(Data!F557), "  ")</f>
        <v>598</v>
      </c>
      <c r="G552" s="42">
        <f>IFERROR(AVERAGE(Data!G557), "  ")</f>
        <v>25</v>
      </c>
      <c r="H552" s="44">
        <f>IFERROR(AVERAGE(Data!H557), "  ")</f>
        <v>-0.1308139534883721</v>
      </c>
      <c r="I552" s="44">
        <f>IFERROR(AVERAGE(Data!I557), "  ")</f>
        <v>0.119140625</v>
      </c>
      <c r="J552" s="42">
        <f>IFERROR(AVERAGE(Data!J557), "  ")</f>
        <v>61</v>
      </c>
      <c r="K552" s="44">
        <f>IFERROR(AVERAGE(Data!K557), "  ")</f>
        <v>2.7491408934707903E-2</v>
      </c>
      <c r="L552" s="45">
        <f>IFERROR(AVERAGE(Data!L557), "  ")</f>
        <v>476.33333333333331</v>
      </c>
    </row>
    <row r="553" spans="1:12" x14ac:dyDescent="0.2">
      <c r="A553" s="43">
        <f>Data!A558</f>
        <v>42497</v>
      </c>
      <c r="B553" s="42">
        <f>IFERROR(AVERAGE(Data!B558), "  ")</f>
        <v>516</v>
      </c>
      <c r="C553" s="42">
        <f>IFERROR(AVERAGE(Data!C558), "  ")</f>
        <v>19</v>
      </c>
      <c r="D553" s="42">
        <f>IFERROR(AVERAGE(Data!D558), "  ")</f>
        <v>75</v>
      </c>
      <c r="E553" s="42">
        <f>IFERROR(AVERAGE(Data!E558), "  ")</f>
        <v>610</v>
      </c>
      <c r="F553" s="42">
        <f>IFERROR(AVERAGE(Data!F558), "  ")</f>
        <v>639</v>
      </c>
      <c r="G553" s="42">
        <f>IFERROR(AVERAGE(Data!G558), "  ")</f>
        <v>29</v>
      </c>
      <c r="H553" s="44">
        <f>IFERROR(AVERAGE(Data!H558), "  ")</f>
        <v>6.8561872909698993E-2</v>
      </c>
      <c r="I553" s="44">
        <f>IFERROR(AVERAGE(Data!I558), "  ")</f>
        <v>6.4572425828970326E-2</v>
      </c>
      <c r="J553" s="42">
        <f>IFERROR(AVERAGE(Data!J558), "  ")</f>
        <v>37</v>
      </c>
      <c r="K553" s="44">
        <f>IFERROR(AVERAGE(Data!K558), "  ")</f>
        <v>-5.473372781065089E-2</v>
      </c>
      <c r="L553" s="45">
        <f>IFERROR(AVERAGE(Data!L558), "  ")</f>
        <v>456.66666666666669</v>
      </c>
    </row>
    <row r="554" spans="1:12" x14ac:dyDescent="0.2">
      <c r="A554" s="43">
        <f>Data!A559</f>
        <v>42504</v>
      </c>
      <c r="B554" s="42">
        <f>IFERROR(AVERAGE(Data!B559), "  ")</f>
        <v>419</v>
      </c>
      <c r="C554" s="42">
        <f>IFERROR(AVERAGE(Data!C559), "  ")</f>
        <v>40</v>
      </c>
      <c r="D554" s="42">
        <f>IFERROR(AVERAGE(Data!D559), "  ")</f>
        <v>81</v>
      </c>
      <c r="E554" s="42">
        <f>IFERROR(AVERAGE(Data!E559), "  ")</f>
        <v>540</v>
      </c>
      <c r="F554" s="42">
        <f>IFERROR(AVERAGE(Data!F559), "  ")</f>
        <v>617</v>
      </c>
      <c r="G554" s="42">
        <f>IFERROR(AVERAGE(Data!G559), "  ")</f>
        <v>77</v>
      </c>
      <c r="H554" s="44">
        <f>IFERROR(AVERAGE(Data!H559), "  ")</f>
        <v>-3.4428794992175271E-2</v>
      </c>
      <c r="I554" s="44">
        <f>IFERROR(AVERAGE(Data!I559), "  ")</f>
        <v>-0.11475409836065574</v>
      </c>
      <c r="J554" s="42">
        <f>IFERROR(AVERAGE(Data!J559), "  ")</f>
        <v>-70</v>
      </c>
      <c r="K554" s="44">
        <f>IFERROR(AVERAGE(Data!K559), "  ")</f>
        <v>-8.4569732937685466E-2</v>
      </c>
      <c r="L554" s="45">
        <f>IFERROR(AVERAGE(Data!L559), "  ")</f>
        <v>539</v>
      </c>
    </row>
    <row r="555" spans="1:12" x14ac:dyDescent="0.2">
      <c r="A555" s="43">
        <f>Data!A560</f>
        <v>42511</v>
      </c>
      <c r="B555" s="42">
        <f>IFERROR(AVERAGE(Data!B560), "  ")</f>
        <v>464</v>
      </c>
      <c r="C555" s="42">
        <f>IFERROR(AVERAGE(Data!C560), "  ")</f>
        <v>30</v>
      </c>
      <c r="D555" s="42">
        <f>IFERROR(AVERAGE(Data!D560), "  ")</f>
        <v>45</v>
      </c>
      <c r="E555" s="42">
        <f>IFERROR(AVERAGE(Data!E560), "  ")</f>
        <v>539</v>
      </c>
      <c r="F555" s="42">
        <f>IFERROR(AVERAGE(Data!F560), "  ")</f>
        <v>498</v>
      </c>
      <c r="G555" s="42">
        <f>IFERROR(AVERAGE(Data!G560), "  ")</f>
        <v>-41</v>
      </c>
      <c r="H555" s="44">
        <f>IFERROR(AVERAGE(Data!H560), "  ")</f>
        <v>-0.19286871961102106</v>
      </c>
      <c r="I555" s="44">
        <f>IFERROR(AVERAGE(Data!I560), "  ")</f>
        <v>-1.8518518518518519E-3</v>
      </c>
      <c r="J555" s="42">
        <f>IFERROR(AVERAGE(Data!J560), "  ")</f>
        <v>-1</v>
      </c>
      <c r="K555" s="44">
        <f>IFERROR(AVERAGE(Data!K560), "  ")</f>
        <v>-0.18092105263157895</v>
      </c>
      <c r="L555" s="45">
        <f>IFERROR(AVERAGE(Data!L560), "  ")</f>
        <v>532</v>
      </c>
    </row>
    <row r="556" spans="1:12" x14ac:dyDescent="0.2">
      <c r="A556" s="43">
        <f>Data!A561</f>
        <v>42518</v>
      </c>
      <c r="B556" s="42">
        <f>IFERROR(AVERAGE(Data!B561), "  ")</f>
        <v>477</v>
      </c>
      <c r="C556" s="42">
        <f>IFERROR(AVERAGE(Data!C561), "  ")</f>
        <v>34</v>
      </c>
      <c r="D556" s="42">
        <f>IFERROR(AVERAGE(Data!D561), "  ")</f>
        <v>38</v>
      </c>
      <c r="E556" s="42">
        <f>IFERROR(AVERAGE(Data!E561), "  ")</f>
        <v>549</v>
      </c>
      <c r="F556" s="42">
        <f>IFERROR(AVERAGE(Data!F561), "  ")</f>
        <v>465</v>
      </c>
      <c r="G556" s="42">
        <f>IFERROR(AVERAGE(Data!G561), "  ")</f>
        <v>-84</v>
      </c>
      <c r="H556" s="44">
        <f>IFERROR(AVERAGE(Data!H561), "  ")</f>
        <v>-6.6265060240963861E-2</v>
      </c>
      <c r="I556" s="44">
        <f>IFERROR(AVERAGE(Data!I561), "  ")</f>
        <v>1.8552875695732839E-2</v>
      </c>
      <c r="J556" s="42">
        <f>IFERROR(AVERAGE(Data!J561), "  ")</f>
        <v>10</v>
      </c>
      <c r="K556" s="44">
        <f>IFERROR(AVERAGE(Data!K561), "  ")</f>
        <v>0.1018957345971564</v>
      </c>
      <c r="L556" s="45">
        <f>IFERROR(AVERAGE(Data!L561), "  ")</f>
        <v>380.66666666666669</v>
      </c>
    </row>
    <row r="557" spans="1:12" x14ac:dyDescent="0.2">
      <c r="A557" s="43">
        <f>Data!A562</f>
        <v>42525</v>
      </c>
      <c r="B557" s="42">
        <f>IFERROR(AVERAGE(Data!B562), "  ")</f>
        <v>364</v>
      </c>
      <c r="C557" s="42">
        <f>IFERROR(AVERAGE(Data!C562), "  ")</f>
        <v>14</v>
      </c>
      <c r="D557" s="42">
        <f>IFERROR(AVERAGE(Data!D562), "  ")</f>
        <v>18</v>
      </c>
      <c r="E557" s="42">
        <f>IFERROR(AVERAGE(Data!E562), "  ")</f>
        <v>396</v>
      </c>
      <c r="F557" s="42">
        <f>IFERROR(AVERAGE(Data!F562), "  ")</f>
        <v>639</v>
      </c>
      <c r="G557" s="42">
        <f>IFERROR(AVERAGE(Data!G562), "  ")</f>
        <v>243</v>
      </c>
      <c r="H557" s="44">
        <f>IFERROR(AVERAGE(Data!H562), "  ")</f>
        <v>0.37419354838709679</v>
      </c>
      <c r="I557" s="44">
        <f>IFERROR(AVERAGE(Data!I562), "  ")</f>
        <v>-0.27868852459016391</v>
      </c>
      <c r="J557" s="42">
        <f>IFERROR(AVERAGE(Data!J562), "  ")</f>
        <v>-153</v>
      </c>
      <c r="K557" s="44">
        <f>IFERROR(AVERAGE(Data!K562), "  ")</f>
        <v>0.45227272727272727</v>
      </c>
      <c r="L557" s="45">
        <f>IFERROR(AVERAGE(Data!L562), "  ")</f>
        <v>439</v>
      </c>
    </row>
    <row r="558" spans="1:12" x14ac:dyDescent="0.2">
      <c r="A558" s="43">
        <f>Data!A563</f>
        <v>42532</v>
      </c>
      <c r="B558" s="42">
        <f>IFERROR(AVERAGE(Data!B563), "  ")</f>
        <v>491</v>
      </c>
      <c r="C558" s="42">
        <f>IFERROR(AVERAGE(Data!C563), "  ")</f>
        <v>41</v>
      </c>
      <c r="D558" s="42">
        <f>IFERROR(AVERAGE(Data!D563), "  ")</f>
        <v>40</v>
      </c>
      <c r="E558" s="42">
        <f>IFERROR(AVERAGE(Data!E563), "  ")</f>
        <v>572</v>
      </c>
      <c r="F558" s="42">
        <f>IFERROR(AVERAGE(Data!F563), "  ")</f>
        <v>773</v>
      </c>
      <c r="G558" s="42">
        <f>IFERROR(AVERAGE(Data!G563), "  ")</f>
        <v>201</v>
      </c>
      <c r="H558" s="44">
        <f>IFERROR(AVERAGE(Data!H563), "  ")</f>
        <v>0.20970266040688576</v>
      </c>
      <c r="I558" s="44">
        <f>IFERROR(AVERAGE(Data!I563), "  ")</f>
        <v>0.44444444444444442</v>
      </c>
      <c r="J558" s="42">
        <f>IFERROR(AVERAGE(Data!J563), "  ")</f>
        <v>176</v>
      </c>
      <c r="K558" s="44">
        <f>IFERROR(AVERAGE(Data!K563), "  ")</f>
        <v>0.2427652733118971</v>
      </c>
      <c r="L558" s="45">
        <f>IFERROR(AVERAGE(Data!L563), "  ")</f>
        <v>491.33333333333331</v>
      </c>
    </row>
    <row r="559" spans="1:12" x14ac:dyDescent="0.2">
      <c r="A559" s="43">
        <f>Data!A564</f>
        <v>42539</v>
      </c>
      <c r="B559" s="42">
        <f>IFERROR(AVERAGE(Data!B564), "  ")</f>
        <v>518</v>
      </c>
      <c r="C559" s="42">
        <f>IFERROR(AVERAGE(Data!C564), "  ")</f>
        <v>31</v>
      </c>
      <c r="D559" s="42">
        <f>IFERROR(AVERAGE(Data!D564), "  ")</f>
        <v>19</v>
      </c>
      <c r="E559" s="42">
        <f>IFERROR(AVERAGE(Data!E564), "  ")</f>
        <v>568</v>
      </c>
      <c r="F559" s="42">
        <f>IFERROR(AVERAGE(Data!F564), "  ")</f>
        <v>725</v>
      </c>
      <c r="G559" s="42">
        <f>IFERROR(AVERAGE(Data!G564), "  ")</f>
        <v>157</v>
      </c>
      <c r="H559" s="44">
        <f>IFERROR(AVERAGE(Data!H564), "  ")</f>
        <v>-6.2095730918499355E-2</v>
      </c>
      <c r="I559" s="44">
        <f>IFERROR(AVERAGE(Data!I564), "  ")</f>
        <v>-6.993006993006993E-3</v>
      </c>
      <c r="J559" s="42">
        <f>IFERROR(AVERAGE(Data!J564), "  ")</f>
        <v>-4</v>
      </c>
      <c r="K559" s="44">
        <f>IFERROR(AVERAGE(Data!K564), "  ")</f>
        <v>0.22673434856175972</v>
      </c>
      <c r="L559" s="45">
        <f>IFERROR(AVERAGE(Data!L564), "  ")</f>
        <v>450</v>
      </c>
    </row>
    <row r="560" spans="1:12" x14ac:dyDescent="0.2">
      <c r="A560" s="43">
        <f>Data!A565</f>
        <v>42546</v>
      </c>
      <c r="B560" s="42">
        <f>IFERROR(AVERAGE(Data!B565), "  ")</f>
        <v>575</v>
      </c>
      <c r="C560" s="42">
        <f>IFERROR(AVERAGE(Data!C565), "  ")</f>
        <v>38</v>
      </c>
      <c r="D560" s="42">
        <f>IFERROR(AVERAGE(Data!D565), "  ")</f>
        <v>29</v>
      </c>
      <c r="E560" s="42">
        <f>IFERROR(AVERAGE(Data!E565), "  ")</f>
        <v>642</v>
      </c>
      <c r="F560" s="42">
        <f>IFERROR(AVERAGE(Data!F565), "  ")</f>
        <v>548</v>
      </c>
      <c r="G560" s="42">
        <f>IFERROR(AVERAGE(Data!G565), "  ")</f>
        <v>-94</v>
      </c>
      <c r="H560" s="44">
        <f>IFERROR(AVERAGE(Data!H565), "  ")</f>
        <v>-0.24413793103448275</v>
      </c>
      <c r="I560" s="44">
        <f>IFERROR(AVERAGE(Data!I565), "  ")</f>
        <v>0.13028169014084506</v>
      </c>
      <c r="J560" s="42">
        <f>IFERROR(AVERAGE(Data!J565), "  ")</f>
        <v>74</v>
      </c>
      <c r="K560" s="44">
        <f>IFERROR(AVERAGE(Data!K565), "  ")</f>
        <v>-2.8368794326241134E-2</v>
      </c>
      <c r="L560" s="45">
        <f>IFERROR(AVERAGE(Data!L565), "  ")</f>
        <v>496.33333333333331</v>
      </c>
    </row>
    <row r="561" spans="1:12" x14ac:dyDescent="0.2">
      <c r="A561" s="43">
        <f>Data!A566</f>
        <v>42553</v>
      </c>
      <c r="B561" s="42">
        <f>IFERROR(AVERAGE(Data!B566), "  ")</f>
        <v>398</v>
      </c>
      <c r="C561" s="42">
        <f>IFERROR(AVERAGE(Data!C566), "  ")</f>
        <v>25</v>
      </c>
      <c r="D561" s="42">
        <f>IFERROR(AVERAGE(Data!D566), "  ")</f>
        <v>60</v>
      </c>
      <c r="E561" s="42">
        <f>IFERROR(AVERAGE(Data!E566), "  ")</f>
        <v>483</v>
      </c>
      <c r="F561" s="42">
        <f>IFERROR(AVERAGE(Data!F566), "  ")</f>
        <v>498</v>
      </c>
      <c r="G561" s="42">
        <f>IFERROR(AVERAGE(Data!G566), "  ")</f>
        <v>15</v>
      </c>
      <c r="H561" s="44">
        <f>IFERROR(AVERAGE(Data!H566), "  ")</f>
        <v>-9.1240875912408759E-2</v>
      </c>
      <c r="I561" s="44">
        <f>IFERROR(AVERAGE(Data!I566), "  ")</f>
        <v>-0.24766355140186916</v>
      </c>
      <c r="J561" s="42">
        <f>IFERROR(AVERAGE(Data!J566), "  ")</f>
        <v>-159</v>
      </c>
      <c r="K561" s="44">
        <f>IFERROR(AVERAGE(Data!K566), "  ")</f>
        <v>-3.3009708737864081E-2</v>
      </c>
      <c r="L561" s="45">
        <f>IFERROR(AVERAGE(Data!L566), "  ")</f>
        <v>459</v>
      </c>
    </row>
    <row r="562" spans="1:12" x14ac:dyDescent="0.2">
      <c r="A562" s="43">
        <f>Data!A567</f>
        <v>42560</v>
      </c>
      <c r="B562" s="42">
        <f>IFERROR(AVERAGE(Data!B567), "  ")</f>
        <v>601</v>
      </c>
      <c r="C562" s="42">
        <f>IFERROR(AVERAGE(Data!C567), "  ")</f>
        <v>31</v>
      </c>
      <c r="D562" s="42">
        <f>IFERROR(AVERAGE(Data!D567), "  ")</f>
        <v>55</v>
      </c>
      <c r="E562" s="42">
        <f>IFERROR(AVERAGE(Data!E567), "  ")</f>
        <v>687</v>
      </c>
      <c r="F562" s="42">
        <f>IFERROR(AVERAGE(Data!F567), "  ")</f>
        <v>815</v>
      </c>
      <c r="G562" s="42">
        <f>IFERROR(AVERAGE(Data!G567), "  ")</f>
        <v>128</v>
      </c>
      <c r="H562" s="44">
        <f>IFERROR(AVERAGE(Data!H567), "  ")</f>
        <v>0.63654618473895586</v>
      </c>
      <c r="I562" s="44">
        <f>IFERROR(AVERAGE(Data!I567), "  ")</f>
        <v>0.42236024844720499</v>
      </c>
      <c r="J562" s="42">
        <f>IFERROR(AVERAGE(Data!J567), "  ")</f>
        <v>204</v>
      </c>
      <c r="K562" s="44">
        <f>IFERROR(AVERAGE(Data!K567), "  ")</f>
        <v>0.33387888707037644</v>
      </c>
      <c r="L562" s="45">
        <f>IFERROR(AVERAGE(Data!L567), "  ")</f>
        <v>547</v>
      </c>
    </row>
    <row r="563" spans="1:12" x14ac:dyDescent="0.2">
      <c r="A563" s="43">
        <f>Data!A568</f>
        <v>42567</v>
      </c>
      <c r="B563" s="42">
        <f>IFERROR(AVERAGE(Data!B568), "  ")</f>
        <v>589</v>
      </c>
      <c r="C563" s="42">
        <f>IFERROR(AVERAGE(Data!C568), "  ")</f>
        <v>36</v>
      </c>
      <c r="D563" s="42">
        <f>IFERROR(AVERAGE(Data!D568), "  ")</f>
        <v>61</v>
      </c>
      <c r="E563" s="42">
        <f>IFERROR(AVERAGE(Data!E568), "  ")</f>
        <v>686</v>
      </c>
      <c r="F563" s="42">
        <f>IFERROR(AVERAGE(Data!F568), "  ")</f>
        <v>664</v>
      </c>
      <c r="G563" s="42">
        <f>IFERROR(AVERAGE(Data!G568), "  ")</f>
        <v>-22</v>
      </c>
      <c r="H563" s="44">
        <f>IFERROR(AVERAGE(Data!H568), "  ")</f>
        <v>-0.18527607361963191</v>
      </c>
      <c r="I563" s="44">
        <f>IFERROR(AVERAGE(Data!I568), "  ")</f>
        <v>-1.455604075691412E-3</v>
      </c>
      <c r="J563" s="42">
        <f>IFERROR(AVERAGE(Data!J568), "  ")</f>
        <v>-1</v>
      </c>
      <c r="K563" s="44">
        <f>IFERROR(AVERAGE(Data!K568), "  ")</f>
        <v>0.30708661417322836</v>
      </c>
      <c r="L563" s="45">
        <f>IFERROR(AVERAGE(Data!L568), "  ")</f>
        <v>428</v>
      </c>
    </row>
    <row r="564" spans="1:12" x14ac:dyDescent="0.2">
      <c r="A564" s="43">
        <f>Data!A569</f>
        <v>42574</v>
      </c>
      <c r="B564" s="42">
        <f>IFERROR(AVERAGE(Data!B569), "  ")</f>
        <v>527</v>
      </c>
      <c r="C564" s="42">
        <f>IFERROR(AVERAGE(Data!C569), "  ")</f>
        <v>32</v>
      </c>
      <c r="D564" s="42">
        <f>IFERROR(AVERAGE(Data!D569), "  ")</f>
        <v>49</v>
      </c>
      <c r="E564" s="42">
        <f>IFERROR(AVERAGE(Data!E569), "  ")</f>
        <v>608</v>
      </c>
      <c r="F564" s="42">
        <f>IFERROR(AVERAGE(Data!F569), "  ")</f>
        <v>845</v>
      </c>
      <c r="G564" s="42">
        <f>IFERROR(AVERAGE(Data!G569), "  ")</f>
        <v>237</v>
      </c>
      <c r="H564" s="44">
        <f>IFERROR(AVERAGE(Data!H569), "  ")</f>
        <v>0.27259036144578314</v>
      </c>
      <c r="I564" s="44">
        <f>IFERROR(AVERAGE(Data!I569), "  ")</f>
        <v>-0.11370262390670553</v>
      </c>
      <c r="J564" s="42">
        <f>IFERROR(AVERAGE(Data!J569), "  ")</f>
        <v>-78</v>
      </c>
      <c r="K564" s="44">
        <f>IFERROR(AVERAGE(Data!K569), "  ")</f>
        <v>0.51978417266187049</v>
      </c>
      <c r="L564" s="45">
        <f>IFERROR(AVERAGE(Data!L569), "  ")</f>
        <v>430.66666666666669</v>
      </c>
    </row>
    <row r="565" spans="1:12" x14ac:dyDescent="0.2">
      <c r="A565" s="43">
        <f>Data!A570</f>
        <v>42581</v>
      </c>
      <c r="B565" s="42">
        <f>IFERROR(AVERAGE(Data!B570), "  ")</f>
        <v>635</v>
      </c>
      <c r="C565" s="42">
        <f>IFERROR(AVERAGE(Data!C570), "  ")</f>
        <v>25</v>
      </c>
      <c r="D565" s="42">
        <f>IFERROR(AVERAGE(Data!D570), "  ")</f>
        <v>76</v>
      </c>
      <c r="E565" s="42">
        <f>IFERROR(AVERAGE(Data!E570), "  ")</f>
        <v>736</v>
      </c>
      <c r="F565" s="42">
        <f>IFERROR(AVERAGE(Data!F570), "  ")</f>
        <v>721</v>
      </c>
      <c r="G565" s="42">
        <f>IFERROR(AVERAGE(Data!G570), "  ")</f>
        <v>-15</v>
      </c>
      <c r="H565" s="44">
        <f>IFERROR(AVERAGE(Data!H570), "  ")</f>
        <v>-0.1467455621301775</v>
      </c>
      <c r="I565" s="44">
        <f>IFERROR(AVERAGE(Data!I570), "  ")</f>
        <v>0.21052631578947367</v>
      </c>
      <c r="J565" s="42">
        <f>IFERROR(AVERAGE(Data!J570), "  ")</f>
        <v>128</v>
      </c>
      <c r="K565" s="44">
        <f>IFERROR(AVERAGE(Data!K570), "  ")</f>
        <v>0.57080610021786493</v>
      </c>
      <c r="L565" s="45">
        <f>IFERROR(AVERAGE(Data!L570), "  ")</f>
        <v>411</v>
      </c>
    </row>
    <row r="566" spans="1:12" x14ac:dyDescent="0.2">
      <c r="A566" s="43">
        <f>Data!A571</f>
        <v>42588</v>
      </c>
      <c r="B566" s="42">
        <f>IFERROR(AVERAGE(Data!B571), "  ")</f>
        <v>617</v>
      </c>
      <c r="C566" s="42">
        <f>IFERROR(AVERAGE(Data!C571), "  ")</f>
        <v>38</v>
      </c>
      <c r="D566" s="42">
        <f>IFERROR(AVERAGE(Data!D571), "  ")</f>
        <v>58</v>
      </c>
      <c r="E566" s="42">
        <f>IFERROR(AVERAGE(Data!E571), "  ")</f>
        <v>713</v>
      </c>
      <c r="F566" s="42">
        <f>IFERROR(AVERAGE(Data!F571), "  ")</f>
        <v>777</v>
      </c>
      <c r="G566" s="42">
        <f>IFERROR(AVERAGE(Data!G571), "  ")</f>
        <v>64</v>
      </c>
      <c r="H566" s="44">
        <f>IFERROR(AVERAGE(Data!H571), "  ")</f>
        <v>7.7669902912621352E-2</v>
      </c>
      <c r="I566" s="44">
        <f>IFERROR(AVERAGE(Data!I571), "  ")</f>
        <v>-3.125E-2</v>
      </c>
      <c r="J566" s="42">
        <f>IFERROR(AVERAGE(Data!J571), "  ")</f>
        <v>-23</v>
      </c>
      <c r="K566" s="44">
        <f>IFERROR(AVERAGE(Data!K571), "  ")</f>
        <v>0.46603773584905661</v>
      </c>
      <c r="L566" s="45">
        <f>IFERROR(AVERAGE(Data!L571), "  ")</f>
        <v>436.33333333333331</v>
      </c>
    </row>
    <row r="567" spans="1:12" x14ac:dyDescent="0.2">
      <c r="A567" s="43">
        <f>Data!A572</f>
        <v>42595</v>
      </c>
      <c r="B567" s="42">
        <f>IFERROR(AVERAGE(Data!B572), "  ")</f>
        <v>691</v>
      </c>
      <c r="C567" s="42">
        <f>IFERROR(AVERAGE(Data!C572), "  ")</f>
        <v>40</v>
      </c>
      <c r="D567" s="42">
        <f>IFERROR(AVERAGE(Data!D572), "  ")</f>
        <v>78</v>
      </c>
      <c r="E567" s="42">
        <f>IFERROR(AVERAGE(Data!E572), "  ")</f>
        <v>809</v>
      </c>
      <c r="F567" s="42">
        <f>IFERROR(AVERAGE(Data!F572), "  ")</f>
        <v>647</v>
      </c>
      <c r="G567" s="42">
        <f>IFERROR(AVERAGE(Data!G572), "  ")</f>
        <v>-162</v>
      </c>
      <c r="H567" s="44">
        <f>IFERROR(AVERAGE(Data!H572), "  ")</f>
        <v>-0.16731016731016732</v>
      </c>
      <c r="I567" s="44">
        <f>IFERROR(AVERAGE(Data!I572), "  ")</f>
        <v>0.13464235624123422</v>
      </c>
      <c r="J567" s="42">
        <f>IFERROR(AVERAGE(Data!J572), "  ")</f>
        <v>96</v>
      </c>
      <c r="K567" s="44">
        <f>IFERROR(AVERAGE(Data!K572), "  ")</f>
        <v>-0.13502673796791445</v>
      </c>
      <c r="L567" s="45">
        <f>IFERROR(AVERAGE(Data!L572), "  ")</f>
        <v>523.33333333333337</v>
      </c>
    </row>
    <row r="568" spans="1:12" x14ac:dyDescent="0.2">
      <c r="A568" s="43">
        <f>Data!A573</f>
        <v>42602</v>
      </c>
      <c r="B568" s="42">
        <f>IFERROR(AVERAGE(Data!B573), "  ")</f>
        <v>636</v>
      </c>
      <c r="C568" s="42">
        <f>IFERROR(AVERAGE(Data!C573), "  ")</f>
        <v>32</v>
      </c>
      <c r="D568" s="42">
        <f>IFERROR(AVERAGE(Data!D573), "  ")</f>
        <v>61</v>
      </c>
      <c r="E568" s="42">
        <f>IFERROR(AVERAGE(Data!E573), "  ")</f>
        <v>729</v>
      </c>
      <c r="F568" s="42">
        <f>IFERROR(AVERAGE(Data!F573), "  ")</f>
        <v>844</v>
      </c>
      <c r="G568" s="42">
        <f>IFERROR(AVERAGE(Data!G573), "  ")</f>
        <v>115</v>
      </c>
      <c r="H568" s="44">
        <f>IFERROR(AVERAGE(Data!H573), "  ")</f>
        <v>0.30448222565687788</v>
      </c>
      <c r="I568" s="44">
        <f>IFERROR(AVERAGE(Data!I573), "  ")</f>
        <v>-9.8887515451174288E-2</v>
      </c>
      <c r="J568" s="42">
        <f>IFERROR(AVERAGE(Data!J573), "  ")</f>
        <v>-80</v>
      </c>
      <c r="K568" s="44">
        <f>IFERROR(AVERAGE(Data!K573), "  ")</f>
        <v>0.39966832504145938</v>
      </c>
      <c r="L568" s="45">
        <f>IFERROR(AVERAGE(Data!L573), "  ")</f>
        <v>485</v>
      </c>
    </row>
    <row r="569" spans="1:12" x14ac:dyDescent="0.2">
      <c r="A569" s="43">
        <f>Data!A574</f>
        <v>42609</v>
      </c>
      <c r="B569" s="42">
        <f>IFERROR(AVERAGE(Data!B574), "  ")</f>
        <v>522</v>
      </c>
      <c r="C569" s="42">
        <f>IFERROR(AVERAGE(Data!C574), "  ")</f>
        <v>30</v>
      </c>
      <c r="D569" s="42">
        <f>IFERROR(AVERAGE(Data!D574), "  ")</f>
        <v>29</v>
      </c>
      <c r="E569" s="42">
        <f>IFERROR(AVERAGE(Data!E574), "  ")</f>
        <v>581</v>
      </c>
      <c r="F569" s="42">
        <f>IFERROR(AVERAGE(Data!F574), "  ")</f>
        <v>915</v>
      </c>
      <c r="G569" s="42">
        <f>IFERROR(AVERAGE(Data!G574), "  ")</f>
        <v>334</v>
      </c>
      <c r="H569" s="44">
        <f>IFERROR(AVERAGE(Data!H574), "  ")</f>
        <v>8.412322274881516E-2</v>
      </c>
      <c r="I569" s="44">
        <f>IFERROR(AVERAGE(Data!I574), "  ")</f>
        <v>-0.20301783264746229</v>
      </c>
      <c r="J569" s="42">
        <f>IFERROR(AVERAGE(Data!J574), "  ")</f>
        <v>-148</v>
      </c>
      <c r="K569" s="44">
        <f>IFERROR(AVERAGE(Data!K574), "  ")</f>
        <v>0.844758064516129</v>
      </c>
      <c r="L569" s="45">
        <f>IFERROR(AVERAGE(Data!L574), "  ")</f>
        <v>453.66666666666669</v>
      </c>
    </row>
    <row r="570" spans="1:12" x14ac:dyDescent="0.2">
      <c r="A570" s="43">
        <f>Data!A575</f>
        <v>42616</v>
      </c>
      <c r="B570" s="42">
        <f>IFERROR(AVERAGE(Data!B575), "  ")</f>
        <v>530</v>
      </c>
      <c r="C570" s="42">
        <f>IFERROR(AVERAGE(Data!C575), "  ")</f>
        <v>0</v>
      </c>
      <c r="D570" s="42">
        <f>IFERROR(AVERAGE(Data!D575), "  ")</f>
        <v>29</v>
      </c>
      <c r="E570" s="42">
        <f>IFERROR(AVERAGE(Data!E575), "  ")</f>
        <v>559</v>
      </c>
      <c r="F570" s="42">
        <f>IFERROR(AVERAGE(Data!F575), "  ")</f>
        <v>1010</v>
      </c>
      <c r="G570" s="42">
        <f>IFERROR(AVERAGE(Data!G575), "  ")</f>
        <v>451</v>
      </c>
      <c r="H570" s="44">
        <f>IFERROR(AVERAGE(Data!H575), "  ")</f>
        <v>0.10382513661202186</v>
      </c>
      <c r="I570" s="44">
        <f>IFERROR(AVERAGE(Data!I575), "  ")</f>
        <v>-3.7865748709122203E-2</v>
      </c>
      <c r="J570" s="42">
        <f>IFERROR(AVERAGE(Data!J575), "  ")</f>
        <v>-22</v>
      </c>
      <c r="K570" s="44">
        <f>IFERROR(AVERAGE(Data!K575), "  ")</f>
        <v>0.55384615384615388</v>
      </c>
      <c r="L570" s="45">
        <f>IFERROR(AVERAGE(Data!L575), "  ")</f>
        <v>562.66666666666663</v>
      </c>
    </row>
    <row r="571" spans="1:12" x14ac:dyDescent="0.2">
      <c r="A571" s="43">
        <f>Data!A576</f>
        <v>42623</v>
      </c>
      <c r="B571" s="42">
        <f>IFERROR(AVERAGE(Data!B576), "  ")</f>
        <v>292</v>
      </c>
      <c r="C571" s="42">
        <f>IFERROR(AVERAGE(Data!C576), "  ")</f>
        <v>8</v>
      </c>
      <c r="D571" s="42">
        <f>IFERROR(AVERAGE(Data!D576), "  ")</f>
        <v>44</v>
      </c>
      <c r="E571" s="42">
        <f>IFERROR(AVERAGE(Data!E576), "  ")</f>
        <v>344</v>
      </c>
      <c r="F571" s="42">
        <f>IFERROR(AVERAGE(Data!F576), "  ")</f>
        <v>904</v>
      </c>
      <c r="G571" s="42">
        <f>IFERROR(AVERAGE(Data!G576), "  ")</f>
        <v>560</v>
      </c>
      <c r="H571" s="44">
        <f>IFERROR(AVERAGE(Data!H576), "  ")</f>
        <v>-0.10495049504950495</v>
      </c>
      <c r="I571" s="44">
        <f>IFERROR(AVERAGE(Data!I576), "  ")</f>
        <v>-0.38461538461538464</v>
      </c>
      <c r="J571" s="42">
        <f>IFERROR(AVERAGE(Data!J576), "  ")</f>
        <v>-215</v>
      </c>
      <c r="K571" s="44">
        <f>IFERROR(AVERAGE(Data!K576), "  ")</f>
        <v>0.5142378559463987</v>
      </c>
      <c r="L571" s="45">
        <f>IFERROR(AVERAGE(Data!L576), "  ")</f>
        <v>587.33333333333337</v>
      </c>
    </row>
    <row r="572" spans="1:12" x14ac:dyDescent="0.2">
      <c r="A572" s="43">
        <f>Data!A577</f>
        <v>42630</v>
      </c>
      <c r="B572" s="42">
        <f>IFERROR(AVERAGE(Data!B577), "  ")</f>
        <v>203</v>
      </c>
      <c r="C572" s="42">
        <f>IFERROR(AVERAGE(Data!C577), "  ")</f>
        <v>65</v>
      </c>
      <c r="D572" s="42">
        <f>IFERROR(AVERAGE(Data!D577), "  ")</f>
        <v>66</v>
      </c>
      <c r="E572" s="42">
        <f>IFERROR(AVERAGE(Data!E577), "  ")</f>
        <v>334</v>
      </c>
      <c r="F572" s="42">
        <f>IFERROR(AVERAGE(Data!F577), "  ")</f>
        <v>715</v>
      </c>
      <c r="G572" s="42">
        <f>IFERROR(AVERAGE(Data!G577), "  ")</f>
        <v>381</v>
      </c>
      <c r="H572" s="44">
        <f>IFERROR(AVERAGE(Data!H577), "  ")</f>
        <v>-0.20907079646017698</v>
      </c>
      <c r="I572" s="44">
        <f>IFERROR(AVERAGE(Data!I577), "  ")</f>
        <v>-2.9069767441860465E-2</v>
      </c>
      <c r="J572" s="42">
        <f>IFERROR(AVERAGE(Data!J577), "  ")</f>
        <v>-10</v>
      </c>
      <c r="K572" s="44">
        <f>IFERROR(AVERAGE(Data!K577), "  ")</f>
        <v>-6.413612565445026E-2</v>
      </c>
      <c r="L572" s="45">
        <f>IFERROR(AVERAGE(Data!L577), "  ")</f>
        <v>713</v>
      </c>
    </row>
    <row r="573" spans="1:12" x14ac:dyDescent="0.2">
      <c r="A573" s="43">
        <f>Data!A578</f>
        <v>42637</v>
      </c>
      <c r="B573" s="42">
        <f>IFERROR(AVERAGE(Data!B578), "  ")</f>
        <v>168</v>
      </c>
      <c r="C573" s="42">
        <f>IFERROR(AVERAGE(Data!C578), "  ")</f>
        <v>35</v>
      </c>
      <c r="D573" s="42">
        <f>IFERROR(AVERAGE(Data!D578), "  ")</f>
        <v>78</v>
      </c>
      <c r="E573" s="42">
        <f>IFERROR(AVERAGE(Data!E578), "  ")</f>
        <v>281</v>
      </c>
      <c r="F573" s="42">
        <f>IFERROR(AVERAGE(Data!F578), "  ")</f>
        <v>740</v>
      </c>
      <c r="G573" s="42">
        <f>IFERROR(AVERAGE(Data!G578), "  ")</f>
        <v>459</v>
      </c>
      <c r="H573" s="44">
        <f>IFERROR(AVERAGE(Data!H578), "  ")</f>
        <v>3.4965034965034968E-2</v>
      </c>
      <c r="I573" s="44">
        <f>IFERROR(AVERAGE(Data!I578), "  ")</f>
        <v>-0.15868263473053892</v>
      </c>
      <c r="J573" s="42">
        <f>IFERROR(AVERAGE(Data!J578), "  ")</f>
        <v>-53</v>
      </c>
      <c r="K573" s="44">
        <f>IFERROR(AVERAGE(Data!K578), "  ")</f>
        <v>-1.3333333333333334E-2</v>
      </c>
      <c r="L573" s="45">
        <f>IFERROR(AVERAGE(Data!L578), "  ")</f>
        <v>717.33333333333337</v>
      </c>
    </row>
    <row r="574" spans="1:12" x14ac:dyDescent="0.2">
      <c r="A574" s="43">
        <f>Data!A579</f>
        <v>42644</v>
      </c>
      <c r="B574" s="42">
        <f>IFERROR(AVERAGE(Data!B579), "  ")</f>
        <v>290</v>
      </c>
      <c r="C574" s="42">
        <f>IFERROR(AVERAGE(Data!C579), "  ")</f>
        <v>58</v>
      </c>
      <c r="D574" s="42">
        <f>IFERROR(AVERAGE(Data!D579), "  ")</f>
        <v>105</v>
      </c>
      <c r="E574" s="42">
        <f>IFERROR(AVERAGE(Data!E579), "  ")</f>
        <v>453</v>
      </c>
      <c r="F574" s="42">
        <f>IFERROR(AVERAGE(Data!F579), "  ")</f>
        <v>820</v>
      </c>
      <c r="G574" s="42">
        <f>IFERROR(AVERAGE(Data!G579), "  ")</f>
        <v>367</v>
      </c>
      <c r="H574" s="44">
        <f>IFERROR(AVERAGE(Data!H579), "  ")</f>
        <v>0.10810810810810811</v>
      </c>
      <c r="I574" s="44">
        <f>IFERROR(AVERAGE(Data!I579), "  ")</f>
        <v>0.61209964412811391</v>
      </c>
      <c r="J574" s="42">
        <f>IFERROR(AVERAGE(Data!J579), "  ")</f>
        <v>172</v>
      </c>
      <c r="K574" s="44">
        <f>IFERROR(AVERAGE(Data!K579), "  ")</f>
        <v>0.16147308781869688</v>
      </c>
      <c r="L574" s="45">
        <f>IFERROR(AVERAGE(Data!L579), "  ")</f>
        <v>751</v>
      </c>
    </row>
    <row r="575" spans="1:12" x14ac:dyDescent="0.2">
      <c r="A575" s="43">
        <f>Data!A580</f>
        <v>42651</v>
      </c>
      <c r="B575" s="42">
        <f>IFERROR(AVERAGE(Data!B580), "  ")</f>
        <v>250</v>
      </c>
      <c r="C575" s="42">
        <f>IFERROR(AVERAGE(Data!C580), "  ")</f>
        <v>51</v>
      </c>
      <c r="D575" s="42">
        <f>IFERROR(AVERAGE(Data!D580), "  ")</f>
        <v>103</v>
      </c>
      <c r="E575" s="42">
        <f>IFERROR(AVERAGE(Data!E580), "  ")</f>
        <v>404</v>
      </c>
      <c r="F575" s="42">
        <f>IFERROR(AVERAGE(Data!F580), "  ")</f>
        <v>920</v>
      </c>
      <c r="G575" s="42">
        <f>IFERROR(AVERAGE(Data!G580), "  ")</f>
        <v>516</v>
      </c>
      <c r="H575" s="44">
        <f>IFERROR(AVERAGE(Data!H580), "  ")</f>
        <v>0.12195121951219512</v>
      </c>
      <c r="I575" s="44">
        <f>IFERROR(AVERAGE(Data!I580), "  ")</f>
        <v>-0.10816777041942605</v>
      </c>
      <c r="J575" s="42">
        <f>IFERROR(AVERAGE(Data!J580), "  ")</f>
        <v>-49</v>
      </c>
      <c r="K575" s="44">
        <f>IFERROR(AVERAGE(Data!K580), "  ")</f>
        <v>0.26200274348422498</v>
      </c>
      <c r="L575" s="45">
        <f>IFERROR(AVERAGE(Data!L580), "  ")</f>
        <v>821.66666666666663</v>
      </c>
    </row>
    <row r="576" spans="1:12" x14ac:dyDescent="0.2">
      <c r="A576" s="43">
        <f>Data!A581</f>
        <v>42658</v>
      </c>
      <c r="B576" s="42">
        <f>IFERROR(AVERAGE(Data!B581), "  ")</f>
        <v>332</v>
      </c>
      <c r="C576" s="42">
        <f>IFERROR(AVERAGE(Data!C581), "  ")</f>
        <v>65</v>
      </c>
      <c r="D576" s="42">
        <f>IFERROR(AVERAGE(Data!D581), "  ")</f>
        <v>183</v>
      </c>
      <c r="E576" s="42">
        <f>IFERROR(AVERAGE(Data!E581), "  ")</f>
        <v>580</v>
      </c>
      <c r="F576" s="42">
        <f>IFERROR(AVERAGE(Data!F581), "  ")</f>
        <v>932</v>
      </c>
      <c r="G576" s="42">
        <f>IFERROR(AVERAGE(Data!G581), "  ")</f>
        <v>352</v>
      </c>
      <c r="H576" s="44">
        <f>IFERROR(AVERAGE(Data!H581), "  ")</f>
        <v>1.3043478260869565E-2</v>
      </c>
      <c r="I576" s="44">
        <f>IFERROR(AVERAGE(Data!I581), "  ")</f>
        <v>0.43564356435643564</v>
      </c>
      <c r="J576" s="42">
        <f>IFERROR(AVERAGE(Data!J581), "  ")</f>
        <v>176</v>
      </c>
      <c r="K576" s="44">
        <f>IFERROR(AVERAGE(Data!K581), "  ")</f>
        <v>4.3673012318029114E-2</v>
      </c>
      <c r="L576" s="45">
        <f>IFERROR(AVERAGE(Data!L581), "  ")</f>
        <v>860.66666666666663</v>
      </c>
    </row>
    <row r="577" spans="1:12" x14ac:dyDescent="0.2">
      <c r="A577" s="43">
        <f>Data!A582</f>
        <v>42665</v>
      </c>
      <c r="B577" s="42">
        <f>IFERROR(AVERAGE(Data!B582), "  ")</f>
        <v>404</v>
      </c>
      <c r="C577" s="42">
        <f>IFERROR(AVERAGE(Data!C582), "  ")</f>
        <v>43</v>
      </c>
      <c r="D577" s="42">
        <f>IFERROR(AVERAGE(Data!D582), "  ")</f>
        <v>171</v>
      </c>
      <c r="E577" s="42">
        <f>IFERROR(AVERAGE(Data!E582), "  ")</f>
        <v>618</v>
      </c>
      <c r="F577" s="42">
        <f>IFERROR(AVERAGE(Data!F582), "  ")</f>
        <v>959</v>
      </c>
      <c r="G577" s="42">
        <f>IFERROR(AVERAGE(Data!G582), "  ")</f>
        <v>341</v>
      </c>
      <c r="H577" s="44">
        <f>IFERROR(AVERAGE(Data!H582), "  ")</f>
        <v>2.8969957081545063E-2</v>
      </c>
      <c r="I577" s="44">
        <f>IFERROR(AVERAGE(Data!I582), "  ")</f>
        <v>6.5517241379310351E-2</v>
      </c>
      <c r="J577" s="42">
        <f>IFERROR(AVERAGE(Data!J582), "  ")</f>
        <v>38</v>
      </c>
      <c r="K577" s="44">
        <f>IFERROR(AVERAGE(Data!K582), "  ")</f>
        <v>5.1535087719298246E-2</v>
      </c>
      <c r="L577" s="45">
        <f>IFERROR(AVERAGE(Data!L582), "  ")</f>
        <v>861</v>
      </c>
    </row>
    <row r="578" spans="1:12" x14ac:dyDescent="0.2">
      <c r="A578" s="43">
        <f>Data!A583</f>
        <v>42672</v>
      </c>
      <c r="B578" s="42">
        <f>IFERROR(AVERAGE(Data!B583), "  ")</f>
        <v>612</v>
      </c>
      <c r="C578" s="42">
        <f>IFERROR(AVERAGE(Data!C583), "  ")</f>
        <v>48</v>
      </c>
      <c r="D578" s="42">
        <f>IFERROR(AVERAGE(Data!D583), "  ")</f>
        <v>154</v>
      </c>
      <c r="E578" s="42">
        <f>IFERROR(AVERAGE(Data!E583), "  ")</f>
        <v>814</v>
      </c>
      <c r="F578" s="42">
        <f>IFERROR(AVERAGE(Data!F583), "  ")</f>
        <v>965</v>
      </c>
      <c r="G578" s="42">
        <f>IFERROR(AVERAGE(Data!G583), "  ")</f>
        <v>151</v>
      </c>
      <c r="H578" s="44">
        <f>IFERROR(AVERAGE(Data!H583), "  ")</f>
        <v>6.2565172054223151E-3</v>
      </c>
      <c r="I578" s="44">
        <f>IFERROR(AVERAGE(Data!I583), "  ")</f>
        <v>0.31715210355987056</v>
      </c>
      <c r="J578" s="42">
        <f>IFERROR(AVERAGE(Data!J583), "  ")</f>
        <v>196</v>
      </c>
      <c r="K578" s="44">
        <f>IFERROR(AVERAGE(Data!K583), "  ")</f>
        <v>0.32737276478679506</v>
      </c>
      <c r="L578" s="45">
        <f>IFERROR(AVERAGE(Data!L583), "  ")</f>
        <v>843.33333333333337</v>
      </c>
    </row>
    <row r="579" spans="1:12" x14ac:dyDescent="0.2">
      <c r="A579" s="43">
        <f>Data!A584</f>
        <v>42679</v>
      </c>
      <c r="B579" s="42">
        <f>IFERROR(AVERAGE(Data!B584), "  ")</f>
        <v>544</v>
      </c>
      <c r="C579" s="42">
        <f>IFERROR(AVERAGE(Data!C584), "  ")</f>
        <v>42</v>
      </c>
      <c r="D579" s="42">
        <f>IFERROR(AVERAGE(Data!D584), "  ")</f>
        <v>156</v>
      </c>
      <c r="E579" s="42">
        <f>IFERROR(AVERAGE(Data!E584), "  ")</f>
        <v>742</v>
      </c>
      <c r="F579" s="42">
        <f>IFERROR(AVERAGE(Data!F584), "  ")</f>
        <v>1043</v>
      </c>
      <c r="G579" s="42">
        <f>IFERROR(AVERAGE(Data!G584), "  ")</f>
        <v>301</v>
      </c>
      <c r="H579" s="44">
        <f>IFERROR(AVERAGE(Data!H584), "  ")</f>
        <v>8.0829015544041455E-2</v>
      </c>
      <c r="I579" s="44">
        <f>IFERROR(AVERAGE(Data!I584), "  ")</f>
        <v>-8.8452088452088448E-2</v>
      </c>
      <c r="J579" s="42">
        <f>IFERROR(AVERAGE(Data!J584), "  ")</f>
        <v>-72</v>
      </c>
      <c r="K579" s="44">
        <f>IFERROR(AVERAGE(Data!K584), "  ")</f>
        <v>0.34580645161290324</v>
      </c>
      <c r="L579" s="45">
        <f>IFERROR(AVERAGE(Data!L584), "  ")</f>
        <v>895</v>
      </c>
    </row>
    <row r="580" spans="1:12" x14ac:dyDescent="0.2">
      <c r="A580" s="43">
        <f>Data!A585</f>
        <v>42686</v>
      </c>
      <c r="B580" s="42">
        <f>IFERROR(AVERAGE(Data!B585), "  ")</f>
        <v>586</v>
      </c>
      <c r="C580" s="42">
        <f>IFERROR(AVERAGE(Data!C585), "  ")</f>
        <v>70</v>
      </c>
      <c r="D580" s="42">
        <f>IFERROR(AVERAGE(Data!D585), "  ")</f>
        <v>183</v>
      </c>
      <c r="E580" s="42">
        <f>IFERROR(AVERAGE(Data!E585), "  ")</f>
        <v>839</v>
      </c>
      <c r="F580" s="42">
        <f>IFERROR(AVERAGE(Data!F585), "  ")</f>
        <v>916</v>
      </c>
      <c r="G580" s="42">
        <f>IFERROR(AVERAGE(Data!G585), "  ")</f>
        <v>77</v>
      </c>
      <c r="H580" s="44">
        <f>IFERROR(AVERAGE(Data!H585), "  ")</f>
        <v>-0.12176414189837009</v>
      </c>
      <c r="I580" s="44">
        <f>IFERROR(AVERAGE(Data!I585), "  ")</f>
        <v>0.1307277628032345</v>
      </c>
      <c r="J580" s="42">
        <f>IFERROR(AVERAGE(Data!J585), "  ")</f>
        <v>97</v>
      </c>
      <c r="K580" s="44">
        <f>IFERROR(AVERAGE(Data!K585), "  ")</f>
        <v>-0.1431244153414406</v>
      </c>
      <c r="L580" s="45">
        <f>IFERROR(AVERAGE(Data!L585), "  ")</f>
        <v>1011.6666666666666</v>
      </c>
    </row>
    <row r="581" spans="1:12" x14ac:dyDescent="0.2">
      <c r="A581" s="43">
        <f>Data!A586</f>
        <v>42693</v>
      </c>
      <c r="B581" s="42">
        <f>IFERROR(AVERAGE(Data!B586), "  ")</f>
        <v>579</v>
      </c>
      <c r="C581" s="42">
        <f>IFERROR(AVERAGE(Data!C586), "  ")</f>
        <v>47</v>
      </c>
      <c r="D581" s="42">
        <f>IFERROR(AVERAGE(Data!D586), "  ")</f>
        <v>90</v>
      </c>
      <c r="E581" s="42">
        <f>IFERROR(AVERAGE(Data!E586), "  ")</f>
        <v>716</v>
      </c>
      <c r="F581" s="42">
        <f>IFERROR(AVERAGE(Data!F586), "  ")</f>
        <v>1058</v>
      </c>
      <c r="G581" s="42">
        <f>IFERROR(AVERAGE(Data!G586), "  ")</f>
        <v>342</v>
      </c>
      <c r="H581" s="44">
        <f>IFERROR(AVERAGE(Data!H586), "  ")</f>
        <v>0.15502183406113537</v>
      </c>
      <c r="I581" s="44">
        <f>IFERROR(AVERAGE(Data!I586), "  ")</f>
        <v>-0.1466030989272944</v>
      </c>
      <c r="J581" s="42">
        <f>IFERROR(AVERAGE(Data!J586), "  ")</f>
        <v>-123</v>
      </c>
      <c r="K581" s="44">
        <f>IFERROR(AVERAGE(Data!K586), "  ")</f>
        <v>3.7254901960784313E-2</v>
      </c>
      <c r="L581" s="45">
        <f>IFERROR(AVERAGE(Data!L586), "  ")</f>
        <v>958.33333333333337</v>
      </c>
    </row>
    <row r="582" spans="1:12" x14ac:dyDescent="0.2">
      <c r="A582" s="43">
        <f>Data!A587</f>
        <v>42700</v>
      </c>
      <c r="B582" s="42">
        <f>IFERROR(AVERAGE(Data!B587), "  ")</f>
        <v>618</v>
      </c>
      <c r="C582" s="42">
        <f>IFERROR(AVERAGE(Data!C587), "  ")</f>
        <v>56</v>
      </c>
      <c r="D582" s="42">
        <f>IFERROR(AVERAGE(Data!D587), "  ")</f>
        <v>127</v>
      </c>
      <c r="E582" s="42">
        <f>IFERROR(AVERAGE(Data!E587), "  ")</f>
        <v>801</v>
      </c>
      <c r="F582" s="42">
        <f>IFERROR(AVERAGE(Data!F587), "  ")</f>
        <v>1038</v>
      </c>
      <c r="G582" s="42">
        <f>IFERROR(AVERAGE(Data!G587), "  ")</f>
        <v>237</v>
      </c>
      <c r="H582" s="44">
        <f>IFERROR(AVERAGE(Data!H587), "  ")</f>
        <v>-1.890359168241966E-2</v>
      </c>
      <c r="I582" s="44">
        <f>IFERROR(AVERAGE(Data!I587), "  ")</f>
        <v>0.11871508379888268</v>
      </c>
      <c r="J582" s="42">
        <f>IFERROR(AVERAGE(Data!J587), "  ")</f>
        <v>85</v>
      </c>
      <c r="K582" s="44">
        <f>IFERROR(AVERAGE(Data!K587), "  ")</f>
        <v>-1.2369172216936251E-2</v>
      </c>
      <c r="L582" s="45">
        <f>IFERROR(AVERAGE(Data!L587), "  ")</f>
        <v>935</v>
      </c>
    </row>
    <row r="583" spans="1:12" x14ac:dyDescent="0.2">
      <c r="A583" s="43">
        <f>Data!A588</f>
        <v>42707</v>
      </c>
      <c r="B583" s="42">
        <f>IFERROR(AVERAGE(Data!B588), "  ")</f>
        <v>591</v>
      </c>
      <c r="C583" s="42">
        <f>IFERROR(AVERAGE(Data!C588), "  ")</f>
        <v>33</v>
      </c>
      <c r="D583" s="42">
        <f>IFERROR(AVERAGE(Data!D588), "  ")</f>
        <v>59</v>
      </c>
      <c r="E583" s="42">
        <f>IFERROR(AVERAGE(Data!E588), "  ")</f>
        <v>683</v>
      </c>
      <c r="F583" s="42">
        <f>IFERROR(AVERAGE(Data!F588), "  ")</f>
        <v>1007</v>
      </c>
      <c r="G583" s="42">
        <f>IFERROR(AVERAGE(Data!G588), "  ")</f>
        <v>324</v>
      </c>
      <c r="H583" s="44">
        <f>IFERROR(AVERAGE(Data!H588), "  ")</f>
        <v>-2.9865125240847785E-2</v>
      </c>
      <c r="I583" s="44">
        <f>IFERROR(AVERAGE(Data!I588), "  ")</f>
        <v>-0.14731585518102372</v>
      </c>
      <c r="J583" s="42">
        <f>IFERROR(AVERAGE(Data!J588), "  ")</f>
        <v>-118</v>
      </c>
      <c r="K583" s="44">
        <f>IFERROR(AVERAGE(Data!K588), "  ")</f>
        <v>0.16550925925925927</v>
      </c>
      <c r="L583" s="45">
        <f>IFERROR(AVERAGE(Data!L588), "  ")</f>
        <v>852.33333333333337</v>
      </c>
    </row>
    <row r="584" spans="1:12" x14ac:dyDescent="0.2">
      <c r="A584" s="43">
        <f>Data!A589</f>
        <v>42714</v>
      </c>
      <c r="B584" s="42">
        <f>IFERROR(AVERAGE(Data!B589), "  ")</f>
        <v>509</v>
      </c>
      <c r="C584" s="42">
        <f>IFERROR(AVERAGE(Data!C589), "  ")</f>
        <v>47</v>
      </c>
      <c r="D584" s="42">
        <f>IFERROR(AVERAGE(Data!D589), "  ")</f>
        <v>116</v>
      </c>
      <c r="E584" s="42">
        <f>IFERROR(AVERAGE(Data!E589), "  ")</f>
        <v>672</v>
      </c>
      <c r="F584" s="42">
        <f>IFERROR(AVERAGE(Data!F589), "  ")</f>
        <v>923</v>
      </c>
      <c r="G584" s="42">
        <f>IFERROR(AVERAGE(Data!G589), "  ")</f>
        <v>251</v>
      </c>
      <c r="H584" s="44">
        <f>IFERROR(AVERAGE(Data!H589), "  ")</f>
        <v>-8.3416087388282031E-2</v>
      </c>
      <c r="I584" s="44">
        <f>IFERROR(AVERAGE(Data!I589), "  ")</f>
        <v>-1.6105417276720352E-2</v>
      </c>
      <c r="J584" s="42">
        <f>IFERROR(AVERAGE(Data!J589), "  ")</f>
        <v>-11</v>
      </c>
      <c r="K584" s="44">
        <f>IFERROR(AVERAGE(Data!K589), "  ")</f>
        <v>-3.5527690700104496E-2</v>
      </c>
      <c r="L584" s="45">
        <f>IFERROR(AVERAGE(Data!L589), "  ")</f>
        <v>907.33333333333337</v>
      </c>
    </row>
    <row r="585" spans="1:12" x14ac:dyDescent="0.2">
      <c r="A585" s="43">
        <f>Data!A590</f>
        <v>42721</v>
      </c>
      <c r="B585" s="42">
        <f>IFERROR(AVERAGE(Data!B590), "  ")</f>
        <v>341</v>
      </c>
      <c r="C585" s="42">
        <f>IFERROR(AVERAGE(Data!C590), "  ")</f>
        <v>33</v>
      </c>
      <c r="D585" s="42">
        <f>IFERROR(AVERAGE(Data!D590), "  ")</f>
        <v>109</v>
      </c>
      <c r="E585" s="42">
        <f>IFERROR(AVERAGE(Data!E590), "  ")</f>
        <v>483</v>
      </c>
      <c r="F585" s="42">
        <f>IFERROR(AVERAGE(Data!F590), "  ")</f>
        <v>866</v>
      </c>
      <c r="G585" s="42">
        <f>IFERROR(AVERAGE(Data!G590), "  ")</f>
        <v>383</v>
      </c>
      <c r="H585" s="44">
        <f>IFERROR(AVERAGE(Data!H590), "  ")</f>
        <v>-6.1755146262188518E-2</v>
      </c>
      <c r="I585" s="44">
        <f>IFERROR(AVERAGE(Data!I590), "  ")</f>
        <v>-0.28125</v>
      </c>
      <c r="J585" s="42">
        <f>IFERROR(AVERAGE(Data!J590), "  ")</f>
        <v>-189</v>
      </c>
      <c r="K585" s="44">
        <f>IFERROR(AVERAGE(Data!K590), "  ")</f>
        <v>-0.11451942740286299</v>
      </c>
      <c r="L585" s="45">
        <f>IFERROR(AVERAGE(Data!L590), "  ")</f>
        <v>925</v>
      </c>
    </row>
    <row r="586" spans="1:12" x14ac:dyDescent="0.2">
      <c r="A586" s="43">
        <f>Data!A591</f>
        <v>42728</v>
      </c>
      <c r="B586" s="42">
        <f>IFERROR(AVERAGE(Data!B591), "  ")</f>
        <v>220</v>
      </c>
      <c r="C586" s="42">
        <f>IFERROR(AVERAGE(Data!C591), "  ")</f>
        <v>49</v>
      </c>
      <c r="D586" s="42">
        <f>IFERROR(AVERAGE(Data!D591), "  ")</f>
        <v>128</v>
      </c>
      <c r="E586" s="42">
        <f>IFERROR(AVERAGE(Data!E591), "  ")</f>
        <v>397</v>
      </c>
      <c r="F586" s="42">
        <f>IFERROR(AVERAGE(Data!F591), "  ")</f>
        <v>932</v>
      </c>
      <c r="G586" s="42">
        <f>IFERROR(AVERAGE(Data!G591), "  ")</f>
        <v>535</v>
      </c>
      <c r="H586" s="44">
        <f>IFERROR(AVERAGE(Data!H591), "  ")</f>
        <v>7.6212471131639717E-2</v>
      </c>
      <c r="I586" s="44">
        <f>IFERROR(AVERAGE(Data!I591), "  ")</f>
        <v>-0.17805383022774326</v>
      </c>
      <c r="J586" s="42">
        <f>IFERROR(AVERAGE(Data!J591), "  ")</f>
        <v>-86</v>
      </c>
      <c r="K586" s="44">
        <f>IFERROR(AVERAGE(Data!K591), "  ")</f>
        <v>0.50809061488673135</v>
      </c>
      <c r="L586" s="45">
        <f>IFERROR(AVERAGE(Data!L591), "  ")</f>
        <v>589.33333333333337</v>
      </c>
    </row>
    <row r="587" spans="1:12" x14ac:dyDescent="0.2">
      <c r="A587" s="43">
        <f>Data!A592</f>
        <v>42735</v>
      </c>
      <c r="B587" s="42">
        <f>IFERROR(AVERAGE(Data!B592), "  ")</f>
        <v>389</v>
      </c>
      <c r="C587" s="42">
        <f>IFERROR(AVERAGE(Data!C592), "  ")</f>
        <v>51</v>
      </c>
      <c r="D587" s="42">
        <f>IFERROR(AVERAGE(Data!D592), "  ")</f>
        <v>102</v>
      </c>
      <c r="E587" s="42">
        <f>IFERROR(AVERAGE(Data!E592), "  ")</f>
        <v>542</v>
      </c>
      <c r="F587" s="42">
        <f>IFERROR(AVERAGE(Data!F592), "  ")</f>
        <v>817</v>
      </c>
      <c r="G587" s="42">
        <f>IFERROR(AVERAGE(Data!G592), "  ")</f>
        <v>275</v>
      </c>
      <c r="H587" s="44">
        <f>IFERROR(AVERAGE(Data!H592), "  ")</f>
        <v>-0.12339055793991416</v>
      </c>
      <c r="I587" s="44">
        <f>IFERROR(AVERAGE(Data!I592), "  ")</f>
        <v>0.36523929471032746</v>
      </c>
      <c r="J587" s="42">
        <f>IFERROR(AVERAGE(Data!J592), "  ")</f>
        <v>145</v>
      </c>
      <c r="K587" s="44">
        <f>IFERROR(AVERAGE(Data!K592), "  ")</f>
        <v>4.9200492004920051E-3</v>
      </c>
      <c r="L587" s="45">
        <f>IFERROR(AVERAGE(Data!L592), "  ")</f>
        <v>748.33333333333337</v>
      </c>
    </row>
    <row r="588" spans="1:12" x14ac:dyDescent="0.2">
      <c r="A588" s="43">
        <f>Data!A593</f>
        <v>42742</v>
      </c>
      <c r="B588" s="42">
        <f>IFERROR(AVERAGE(Data!B593), "  ")</f>
        <v>251</v>
      </c>
      <c r="C588" s="42">
        <f>IFERROR(AVERAGE(Data!C593), "  ")</f>
        <v>29</v>
      </c>
      <c r="D588" s="42">
        <f>IFERROR(AVERAGE(Data!D593), "  ")</f>
        <v>141</v>
      </c>
      <c r="E588" s="42">
        <f>IFERROR(AVERAGE(Data!E593), "  ")</f>
        <v>421</v>
      </c>
      <c r="F588" s="42">
        <f>IFERROR(AVERAGE(Data!F593), "  ")</f>
        <v>673</v>
      </c>
      <c r="G588" s="42">
        <f>IFERROR(AVERAGE(Data!G593), "  ")</f>
        <v>252</v>
      </c>
      <c r="H588" s="44">
        <f>IFERROR(AVERAGE(Data!H593), "  ")</f>
        <v>-0.17625458996328031</v>
      </c>
      <c r="I588" s="44">
        <f>IFERROR(AVERAGE(Data!I593), "  ")</f>
        <v>-0.22324723247232472</v>
      </c>
      <c r="J588" s="42">
        <f>IFERROR(AVERAGE(Data!J593), "  ")</f>
        <v>-121</v>
      </c>
      <c r="K588" s="44">
        <f>IFERROR(AVERAGE(Data!K593), "  ")</f>
        <v>-0.16084788029925187</v>
      </c>
      <c r="L588" s="45">
        <f>IFERROR(AVERAGE(Data!L593), "  ")</f>
        <v>840.33333333333337</v>
      </c>
    </row>
    <row r="589" spans="1:12" x14ac:dyDescent="0.2">
      <c r="A589" s="43">
        <f>Data!A594</f>
        <v>42749</v>
      </c>
      <c r="B589" s="42">
        <f>IFERROR(AVERAGE(Data!B594), "  ")</f>
        <v>220</v>
      </c>
      <c r="C589" s="42">
        <f>IFERROR(AVERAGE(Data!C594), "  ")</f>
        <v>37</v>
      </c>
      <c r="D589" s="42">
        <f>IFERROR(AVERAGE(Data!D594), "  ")</f>
        <v>181</v>
      </c>
      <c r="E589" s="42">
        <f>IFERROR(AVERAGE(Data!E594), "  ")</f>
        <v>438</v>
      </c>
      <c r="F589" s="42">
        <f>IFERROR(AVERAGE(Data!F594), "  ")</f>
        <v>834</v>
      </c>
      <c r="G589" s="42">
        <f>IFERROR(AVERAGE(Data!G594), "  ")</f>
        <v>396</v>
      </c>
      <c r="H589" s="44">
        <f>IFERROR(AVERAGE(Data!H594), "  ")</f>
        <v>0.23922734026745915</v>
      </c>
      <c r="I589" s="44">
        <f>IFERROR(AVERAGE(Data!I594), "  ")</f>
        <v>4.0380047505938245E-2</v>
      </c>
      <c r="J589" s="42">
        <f>IFERROR(AVERAGE(Data!J594), "  ")</f>
        <v>17</v>
      </c>
      <c r="K589" s="44">
        <f>IFERROR(AVERAGE(Data!K594), "  ")</f>
        <v>0.25225225225225223</v>
      </c>
      <c r="L589" s="45">
        <f>IFERROR(AVERAGE(Data!L594), "  ")</f>
        <v>801.66666666666663</v>
      </c>
    </row>
    <row r="590" spans="1:12" x14ac:dyDescent="0.2">
      <c r="A590" s="43">
        <f>Data!A595</f>
        <v>42756</v>
      </c>
      <c r="B590" s="42">
        <f>IFERROR(AVERAGE(Data!B595), "  ")</f>
        <v>254</v>
      </c>
      <c r="C590" s="42">
        <f>IFERROR(AVERAGE(Data!C595), "  ")</f>
        <v>46</v>
      </c>
      <c r="D590" s="42">
        <f>IFERROR(AVERAGE(Data!D595), "  ")</f>
        <v>163</v>
      </c>
      <c r="E590" s="42">
        <f>IFERROR(AVERAGE(Data!E595), "  ")</f>
        <v>463</v>
      </c>
      <c r="F590" s="42">
        <f>IFERROR(AVERAGE(Data!F595), "  ")</f>
        <v>858</v>
      </c>
      <c r="G590" s="42">
        <f>IFERROR(AVERAGE(Data!G595), "  ")</f>
        <v>395</v>
      </c>
      <c r="H590" s="44">
        <f>IFERROR(AVERAGE(Data!H595), "  ")</f>
        <v>2.8776978417266189E-2</v>
      </c>
      <c r="I590" s="44">
        <f>IFERROR(AVERAGE(Data!I595), "  ")</f>
        <v>5.7077625570776253E-2</v>
      </c>
      <c r="J590" s="42">
        <f>IFERROR(AVERAGE(Data!J595), "  ")</f>
        <v>25</v>
      </c>
      <c r="K590" s="44">
        <f>IFERROR(AVERAGE(Data!K595), "  ")</f>
        <v>0.3619047619047619</v>
      </c>
      <c r="L590" s="45">
        <f>IFERROR(AVERAGE(Data!L595), "  ")</f>
        <v>733.66666666666663</v>
      </c>
    </row>
    <row r="591" spans="1:12" x14ac:dyDescent="0.2">
      <c r="A591" s="43">
        <f>Data!A596</f>
        <v>42763</v>
      </c>
      <c r="B591" s="42">
        <f>IFERROR(AVERAGE(Data!B596), "  ")</f>
        <v>239</v>
      </c>
      <c r="C591" s="42">
        <f>IFERROR(AVERAGE(Data!C596), "  ")</f>
        <v>49</v>
      </c>
      <c r="D591" s="42">
        <f>IFERROR(AVERAGE(Data!D596), "  ")</f>
        <v>155</v>
      </c>
      <c r="E591" s="42">
        <f>IFERROR(AVERAGE(Data!E596), "  ")</f>
        <v>443</v>
      </c>
      <c r="F591" s="42">
        <f>IFERROR(AVERAGE(Data!F596), "  ")</f>
        <v>1008</v>
      </c>
      <c r="G591" s="42">
        <f>IFERROR(AVERAGE(Data!G596), "  ")</f>
        <v>565</v>
      </c>
      <c r="H591" s="44">
        <f>IFERROR(AVERAGE(Data!H596), "  ")</f>
        <v>0.17482517482517482</v>
      </c>
      <c r="I591" s="44">
        <f>IFERROR(AVERAGE(Data!I596), "  ")</f>
        <v>-4.3196544276457881E-2</v>
      </c>
      <c r="J591" s="42">
        <f>IFERROR(AVERAGE(Data!J596), "  ")</f>
        <v>-20</v>
      </c>
      <c r="K591" s="44">
        <f>IFERROR(AVERAGE(Data!K596), "  ")</f>
        <v>0.89830508474576276</v>
      </c>
      <c r="L591" s="45">
        <f>IFERROR(AVERAGE(Data!L596), "  ")</f>
        <v>666.66666666666663</v>
      </c>
    </row>
    <row r="592" spans="1:12" x14ac:dyDescent="0.2">
      <c r="A592" s="43">
        <f>Data!A597</f>
        <v>42770</v>
      </c>
      <c r="B592" s="42">
        <f>IFERROR(AVERAGE(Data!B597), "  ")</f>
        <v>205</v>
      </c>
      <c r="C592" s="42">
        <f>IFERROR(AVERAGE(Data!C597), "  ")</f>
        <v>49</v>
      </c>
      <c r="D592" s="42">
        <f>IFERROR(AVERAGE(Data!D597), "  ")</f>
        <v>202</v>
      </c>
      <c r="E592" s="42">
        <f>IFERROR(AVERAGE(Data!E597), "  ")</f>
        <v>456</v>
      </c>
      <c r="F592" s="42">
        <f>IFERROR(AVERAGE(Data!F597), "  ")</f>
        <v>947</v>
      </c>
      <c r="G592" s="42">
        <f>IFERROR(AVERAGE(Data!G597), "  ")</f>
        <v>491</v>
      </c>
      <c r="H592" s="44">
        <f>IFERROR(AVERAGE(Data!H597), "  ")</f>
        <v>-6.0515873015873016E-2</v>
      </c>
      <c r="I592" s="44">
        <f>IFERROR(AVERAGE(Data!I597), "  ")</f>
        <v>2.9345372460496615E-2</v>
      </c>
      <c r="J592" s="42">
        <f>IFERROR(AVERAGE(Data!J597), "  ")</f>
        <v>13</v>
      </c>
      <c r="K592" s="44">
        <f>IFERROR(AVERAGE(Data!K597), "  ")</f>
        <v>0.36258992805755397</v>
      </c>
      <c r="L592" s="45">
        <f>IFERROR(AVERAGE(Data!L597), "  ")</f>
        <v>759</v>
      </c>
    </row>
    <row r="593" spans="1:12" x14ac:dyDescent="0.2">
      <c r="A593" s="43">
        <f>Data!A598</f>
        <v>42777</v>
      </c>
      <c r="B593" s="42">
        <f>IFERROR(AVERAGE(Data!B598), "  ")</f>
        <v>187</v>
      </c>
      <c r="C593" s="42">
        <f>IFERROR(AVERAGE(Data!C598), "  ")</f>
        <v>43</v>
      </c>
      <c r="D593" s="42">
        <f>IFERROR(AVERAGE(Data!D598), "  ")</f>
        <v>186</v>
      </c>
      <c r="E593" s="42">
        <f>IFERROR(AVERAGE(Data!E598), "  ")</f>
        <v>416</v>
      </c>
      <c r="F593" s="42">
        <f>IFERROR(AVERAGE(Data!F598), "  ")</f>
        <v>941</v>
      </c>
      <c r="G593" s="42">
        <f>IFERROR(AVERAGE(Data!G598), "  ")</f>
        <v>525</v>
      </c>
      <c r="H593" s="44">
        <f>IFERROR(AVERAGE(Data!H598), "  ")</f>
        <v>-6.3357972544878568E-3</v>
      </c>
      <c r="I593" s="44">
        <f>IFERROR(AVERAGE(Data!I598), "  ")</f>
        <v>-8.771929824561403E-2</v>
      </c>
      <c r="J593" s="42">
        <f>IFERROR(AVERAGE(Data!J598), "  ")</f>
        <v>-40</v>
      </c>
      <c r="K593" s="44">
        <f>IFERROR(AVERAGE(Data!K598), "  ")</f>
        <v>0.11757719714964371</v>
      </c>
      <c r="L593" s="45">
        <f>IFERROR(AVERAGE(Data!L598), "  ")</f>
        <v>812</v>
      </c>
    </row>
    <row r="594" spans="1:12" x14ac:dyDescent="0.2">
      <c r="A594" s="43">
        <f>Data!A599</f>
        <v>42784</v>
      </c>
      <c r="B594" s="42">
        <f>IFERROR(AVERAGE(Data!B599), "  ")</f>
        <v>273</v>
      </c>
      <c r="C594" s="42">
        <f>IFERROR(AVERAGE(Data!C599), "  ")</f>
        <v>53</v>
      </c>
      <c r="D594" s="42">
        <f>IFERROR(AVERAGE(Data!D599), "  ")</f>
        <v>150</v>
      </c>
      <c r="E594" s="42">
        <f>IFERROR(AVERAGE(Data!E599), "  ")</f>
        <v>476</v>
      </c>
      <c r="F594" s="42">
        <f>IFERROR(AVERAGE(Data!F599), "  ")</f>
        <v>888</v>
      </c>
      <c r="G594" s="42">
        <f>IFERROR(AVERAGE(Data!G599), "  ")</f>
        <v>412</v>
      </c>
      <c r="H594" s="44">
        <f>IFERROR(AVERAGE(Data!H599), "  ")</f>
        <v>-5.6323060573857602E-2</v>
      </c>
      <c r="I594" s="44">
        <f>IFERROR(AVERAGE(Data!I599), "  ")</f>
        <v>0.14423076923076922</v>
      </c>
      <c r="J594" s="42">
        <f>IFERROR(AVERAGE(Data!J599), "  ")</f>
        <v>60</v>
      </c>
      <c r="K594" s="44">
        <f>IFERROR(AVERAGE(Data!K599), "  ")</f>
        <v>3.8596491228070177E-2</v>
      </c>
      <c r="L594" s="45">
        <f>IFERROR(AVERAGE(Data!L599), "  ")</f>
        <v>788.66666666666663</v>
      </c>
    </row>
    <row r="595" spans="1:12" x14ac:dyDescent="0.2">
      <c r="A595" s="43">
        <f>Data!A600</f>
        <v>42791</v>
      </c>
      <c r="B595" s="42">
        <f>IFERROR(AVERAGE(Data!B600), "  ")</f>
        <v>184</v>
      </c>
      <c r="C595" s="42">
        <f>IFERROR(AVERAGE(Data!C600), "  ")</f>
        <v>33</v>
      </c>
      <c r="D595" s="42">
        <f>IFERROR(AVERAGE(Data!D600), "  ")</f>
        <v>111</v>
      </c>
      <c r="E595" s="42">
        <f>IFERROR(AVERAGE(Data!E600), "  ")</f>
        <v>328</v>
      </c>
      <c r="F595" s="42">
        <f>IFERROR(AVERAGE(Data!F600), "  ")</f>
        <v>815</v>
      </c>
      <c r="G595" s="42">
        <f>IFERROR(AVERAGE(Data!G600), "  ")</f>
        <v>487</v>
      </c>
      <c r="H595" s="44">
        <f>IFERROR(AVERAGE(Data!H600), "  ")</f>
        <v>-8.2207207207207214E-2</v>
      </c>
      <c r="I595" s="44">
        <f>IFERROR(AVERAGE(Data!I600), "  ")</f>
        <v>-0.31092436974789917</v>
      </c>
      <c r="J595" s="42">
        <f>IFERROR(AVERAGE(Data!J600), "  ")</f>
        <v>-148</v>
      </c>
      <c r="K595" s="44">
        <f>IFERROR(AVERAGE(Data!K600), "  ")</f>
        <v>0.11035422343324251</v>
      </c>
      <c r="L595" s="45">
        <f>IFERROR(AVERAGE(Data!L600), "  ")</f>
        <v>723</v>
      </c>
    </row>
    <row r="596" spans="1:12" x14ac:dyDescent="0.2">
      <c r="A596" s="43">
        <f>Data!A601</f>
        <v>42798</v>
      </c>
      <c r="B596" s="42">
        <f>IFERROR(AVERAGE(Data!B601), "  ")</f>
        <v>305</v>
      </c>
      <c r="C596" s="42">
        <f>IFERROR(AVERAGE(Data!C601), "  ")</f>
        <v>41</v>
      </c>
      <c r="D596" s="42">
        <f>IFERROR(AVERAGE(Data!D601), "  ")</f>
        <v>163</v>
      </c>
      <c r="E596" s="42">
        <f>IFERROR(AVERAGE(Data!E601), "  ")</f>
        <v>509</v>
      </c>
      <c r="F596" s="42">
        <f>IFERROR(AVERAGE(Data!F601), "  ")</f>
        <v>823</v>
      </c>
      <c r="G596" s="42">
        <f>IFERROR(AVERAGE(Data!G601), "  ")</f>
        <v>314</v>
      </c>
      <c r="H596" s="44">
        <f>IFERROR(AVERAGE(Data!H601), "  ")</f>
        <v>9.8159509202453993E-3</v>
      </c>
      <c r="I596" s="44">
        <f>IFERROR(AVERAGE(Data!I601), "  ")</f>
        <v>0.55182926829268297</v>
      </c>
      <c r="J596" s="42">
        <f>IFERROR(AVERAGE(Data!J601), "  ")</f>
        <v>181</v>
      </c>
      <c r="K596" s="44">
        <f>IFERROR(AVERAGE(Data!K601), "  ")</f>
        <v>3.5220125786163521E-2</v>
      </c>
      <c r="L596" s="45">
        <f>IFERROR(AVERAGE(Data!L601), "  ")</f>
        <v>669</v>
      </c>
    </row>
    <row r="597" spans="1:12" x14ac:dyDescent="0.2">
      <c r="A597" s="43">
        <f>Data!A602</f>
        <v>42805</v>
      </c>
      <c r="B597" s="42">
        <f>IFERROR(AVERAGE(Data!B602), "  ")</f>
        <v>289</v>
      </c>
      <c r="C597" s="42">
        <f>IFERROR(AVERAGE(Data!C602), "  ")</f>
        <v>53</v>
      </c>
      <c r="D597" s="42">
        <f>IFERROR(AVERAGE(Data!D602), "  ")</f>
        <v>167</v>
      </c>
      <c r="E597" s="42">
        <f>IFERROR(AVERAGE(Data!E602), "  ")</f>
        <v>509</v>
      </c>
      <c r="F597" s="42">
        <f>IFERROR(AVERAGE(Data!F602), "  ")</f>
        <v>796</v>
      </c>
      <c r="G597" s="42">
        <f>IFERROR(AVERAGE(Data!G602), "  ")</f>
        <v>287</v>
      </c>
      <c r="H597" s="44">
        <f>IFERROR(AVERAGE(Data!H602), "  ")</f>
        <v>-3.2806804374240585E-2</v>
      </c>
      <c r="I597" s="44">
        <f>IFERROR(AVERAGE(Data!I602), "  ")</f>
        <v>0</v>
      </c>
      <c r="J597" s="42">
        <f>IFERROR(AVERAGE(Data!J602), "  ")</f>
        <v>0</v>
      </c>
      <c r="K597" s="44">
        <f>IFERROR(AVERAGE(Data!K602), "  ")</f>
        <v>0.50188679245283019</v>
      </c>
      <c r="L597" s="45">
        <f>IFERROR(AVERAGE(Data!L602), "  ")</f>
        <v>597.66666666666663</v>
      </c>
    </row>
    <row r="598" spans="1:12" x14ac:dyDescent="0.2">
      <c r="A598" s="43">
        <f>Data!A603</f>
        <v>42812</v>
      </c>
      <c r="B598" s="42">
        <f>IFERROR(AVERAGE(Data!B603), "  ")</f>
        <v>387</v>
      </c>
      <c r="C598" s="42">
        <f>IFERROR(AVERAGE(Data!C603), "  ")</f>
        <v>33</v>
      </c>
      <c r="D598" s="42">
        <f>IFERROR(AVERAGE(Data!D603), "  ")</f>
        <v>127</v>
      </c>
      <c r="E598" s="42">
        <f>IFERROR(AVERAGE(Data!E603), "  ")</f>
        <v>547</v>
      </c>
      <c r="F598" s="42">
        <f>IFERROR(AVERAGE(Data!F603), "  ")</f>
        <v>657</v>
      </c>
      <c r="G598" s="42">
        <f>IFERROR(AVERAGE(Data!G603), "  ")</f>
        <v>110</v>
      </c>
      <c r="H598" s="44">
        <f>IFERROR(AVERAGE(Data!H603), "  ")</f>
        <v>-0.17462311557788945</v>
      </c>
      <c r="I598" s="44">
        <f>IFERROR(AVERAGE(Data!I603), "  ")</f>
        <v>7.4656188605108059E-2</v>
      </c>
      <c r="J598" s="42">
        <f>IFERROR(AVERAGE(Data!J603), "  ")</f>
        <v>38</v>
      </c>
      <c r="K598" s="44">
        <f>IFERROR(AVERAGE(Data!K603), "  ")</f>
        <v>0.13471502590673576</v>
      </c>
      <c r="L598" s="45">
        <f>IFERROR(AVERAGE(Data!L603), "  ")</f>
        <v>604.33333333333337</v>
      </c>
    </row>
    <row r="599" spans="1:12" x14ac:dyDescent="0.2">
      <c r="A599" s="43">
        <f>Data!A604</f>
        <v>42819</v>
      </c>
      <c r="B599" s="42">
        <f>IFERROR(AVERAGE(Data!B604), "  ")</f>
        <v>476</v>
      </c>
      <c r="C599" s="42">
        <f>IFERROR(AVERAGE(Data!C604), "  ")</f>
        <v>43</v>
      </c>
      <c r="D599" s="42">
        <f>IFERROR(AVERAGE(Data!D604), "  ")</f>
        <v>149</v>
      </c>
      <c r="E599" s="42">
        <f>IFERROR(AVERAGE(Data!E604), "  ")</f>
        <v>668</v>
      </c>
      <c r="F599" s="42">
        <f>IFERROR(AVERAGE(Data!F604), "  ")</f>
        <v>793</v>
      </c>
      <c r="G599" s="42">
        <f>IFERROR(AVERAGE(Data!G604), "  ")</f>
        <v>125</v>
      </c>
      <c r="H599" s="44">
        <f>IFERROR(AVERAGE(Data!H604), "  ")</f>
        <v>0.20700152207001521</v>
      </c>
      <c r="I599" s="44">
        <f>IFERROR(AVERAGE(Data!I604), "  ")</f>
        <v>0.22120658135283364</v>
      </c>
      <c r="J599" s="42">
        <f>IFERROR(AVERAGE(Data!J604), "  ")</f>
        <v>121</v>
      </c>
      <c r="K599" s="44">
        <f>IFERROR(AVERAGE(Data!K604), "  ")</f>
        <v>0.63505154639175254</v>
      </c>
      <c r="L599" s="45">
        <f>IFERROR(AVERAGE(Data!L604), "  ")</f>
        <v>623</v>
      </c>
    </row>
    <row r="600" spans="1:12" x14ac:dyDescent="0.2">
      <c r="A600" s="43">
        <f>Data!A605</f>
        <v>42826</v>
      </c>
      <c r="B600" s="42">
        <f>IFERROR(AVERAGE(Data!B605), "  ")</f>
        <v>423</v>
      </c>
      <c r="C600" s="42">
        <f>IFERROR(AVERAGE(Data!C605), "  ")</f>
        <v>31</v>
      </c>
      <c r="D600" s="42">
        <f>IFERROR(AVERAGE(Data!D605), "  ")</f>
        <v>81</v>
      </c>
      <c r="E600" s="42">
        <f>IFERROR(AVERAGE(Data!E605), "  ")</f>
        <v>535</v>
      </c>
      <c r="F600" s="42">
        <f>IFERROR(AVERAGE(Data!F605), "  ")</f>
        <v>840</v>
      </c>
      <c r="G600" s="42">
        <f>IFERROR(AVERAGE(Data!G605), "  ")</f>
        <v>305</v>
      </c>
      <c r="H600" s="44">
        <f>IFERROR(AVERAGE(Data!H605), "  ")</f>
        <v>5.9268600252206809E-2</v>
      </c>
      <c r="I600" s="44">
        <f>IFERROR(AVERAGE(Data!I605), "  ")</f>
        <v>-0.19910179640718562</v>
      </c>
      <c r="J600" s="42">
        <f>IFERROR(AVERAGE(Data!J605), "  ")</f>
        <v>-133</v>
      </c>
      <c r="K600" s="44">
        <f>IFERROR(AVERAGE(Data!K605), "  ")</f>
        <v>0.6</v>
      </c>
      <c r="L600" s="45">
        <f>IFERROR(AVERAGE(Data!L605), "  ")</f>
        <v>561.66666666666663</v>
      </c>
    </row>
    <row r="601" spans="1:12" x14ac:dyDescent="0.2">
      <c r="A601" s="43">
        <f>Data!A606</f>
        <v>42833</v>
      </c>
      <c r="B601" s="42">
        <f>IFERROR(AVERAGE(Data!B606), "  ")</f>
        <v>345</v>
      </c>
      <c r="C601" s="42">
        <f>IFERROR(AVERAGE(Data!C606), "  ")</f>
        <v>39</v>
      </c>
      <c r="D601" s="42">
        <f>IFERROR(AVERAGE(Data!D606), "  ")</f>
        <v>81</v>
      </c>
      <c r="E601" s="42">
        <f>IFERROR(AVERAGE(Data!E606), "  ")</f>
        <v>465</v>
      </c>
      <c r="F601" s="42">
        <f>IFERROR(AVERAGE(Data!F606), "  ")</f>
        <v>654</v>
      </c>
      <c r="G601" s="42">
        <f>IFERROR(AVERAGE(Data!G606), "  ")</f>
        <v>189</v>
      </c>
      <c r="H601" s="44">
        <f>IFERROR(AVERAGE(Data!H606), "  ")</f>
        <v>-0.22142857142857142</v>
      </c>
      <c r="I601" s="44">
        <f>IFERROR(AVERAGE(Data!I606), "  ")</f>
        <v>-0.13084112149532709</v>
      </c>
      <c r="J601" s="42">
        <f>IFERROR(AVERAGE(Data!J606), "  ")</f>
        <v>-70</v>
      </c>
      <c r="K601" s="44">
        <f>IFERROR(AVERAGE(Data!K606), "  ")</f>
        <v>1.3953488372093023E-2</v>
      </c>
      <c r="L601" s="45">
        <f>IFERROR(AVERAGE(Data!L606), "  ")</f>
        <v>610.66666666666663</v>
      </c>
    </row>
    <row r="602" spans="1:12" x14ac:dyDescent="0.2">
      <c r="A602" s="43">
        <f>Data!A607</f>
        <v>42840</v>
      </c>
      <c r="B602" s="42">
        <f>IFERROR(AVERAGE(Data!B607), "  ")</f>
        <v>339</v>
      </c>
      <c r="C602" s="42">
        <f>IFERROR(AVERAGE(Data!C607), "  ")</f>
        <v>38</v>
      </c>
      <c r="D602" s="42">
        <f>IFERROR(AVERAGE(Data!D607), "  ")</f>
        <v>66</v>
      </c>
      <c r="E602" s="42">
        <f>IFERROR(AVERAGE(Data!E607), "  ")</f>
        <v>443</v>
      </c>
      <c r="F602" s="42">
        <f>IFERROR(AVERAGE(Data!F607), "  ")</f>
        <v>649</v>
      </c>
      <c r="G602" s="42">
        <f>IFERROR(AVERAGE(Data!G607), "  ")</f>
        <v>206</v>
      </c>
      <c r="H602" s="44">
        <f>IFERROR(AVERAGE(Data!H607), "  ")</f>
        <v>-7.6452599388379203E-3</v>
      </c>
      <c r="I602" s="44">
        <f>IFERROR(AVERAGE(Data!I607), "  ")</f>
        <v>-4.7311827956989246E-2</v>
      </c>
      <c r="J602" s="42">
        <f>IFERROR(AVERAGE(Data!J607), "  ")</f>
        <v>-22</v>
      </c>
      <c r="K602" s="44">
        <f>IFERROR(AVERAGE(Data!K607), "  ")</f>
        <v>0.18864468864468864</v>
      </c>
      <c r="L602" s="45">
        <f>IFERROR(AVERAGE(Data!L607), "  ")</f>
        <v>535</v>
      </c>
    </row>
    <row r="603" spans="1:12" x14ac:dyDescent="0.2">
      <c r="A603" s="43">
        <f>Data!A608</f>
        <v>42847</v>
      </c>
      <c r="B603" s="42">
        <f>IFERROR(AVERAGE(Data!B608), "  ")</f>
        <v>552</v>
      </c>
      <c r="C603" s="42">
        <f>IFERROR(AVERAGE(Data!C608), "  ")</f>
        <v>35</v>
      </c>
      <c r="D603" s="42">
        <f>IFERROR(AVERAGE(Data!D608), "  ")</f>
        <v>68</v>
      </c>
      <c r="E603" s="42">
        <f>IFERROR(AVERAGE(Data!E608), "  ")</f>
        <v>655</v>
      </c>
      <c r="F603" s="42">
        <f>IFERROR(AVERAGE(Data!F608), "  ")</f>
        <v>617</v>
      </c>
      <c r="G603" s="42">
        <f>IFERROR(AVERAGE(Data!G608), "  ")</f>
        <v>-38</v>
      </c>
      <c r="H603" s="44">
        <f>IFERROR(AVERAGE(Data!H608), "  ")</f>
        <v>-4.930662557781202E-2</v>
      </c>
      <c r="I603" s="44">
        <f>IFERROR(AVERAGE(Data!I608), "  ")</f>
        <v>0.47855530474040631</v>
      </c>
      <c r="J603" s="42">
        <f>IFERROR(AVERAGE(Data!J608), "  ")</f>
        <v>212</v>
      </c>
      <c r="K603" s="44">
        <f>IFERROR(AVERAGE(Data!K608), "  ")</f>
        <v>-0.10319767441860465</v>
      </c>
      <c r="L603" s="45">
        <f>IFERROR(AVERAGE(Data!L608), "  ")</f>
        <v>629</v>
      </c>
    </row>
    <row r="604" spans="1:12" x14ac:dyDescent="0.2">
      <c r="A604" s="43">
        <f>Data!A609</f>
        <v>42854</v>
      </c>
      <c r="B604" s="42">
        <f>IFERROR(AVERAGE(Data!B609), "  ")</f>
        <v>450</v>
      </c>
      <c r="C604" s="42">
        <f>IFERROR(AVERAGE(Data!C609), "  ")</f>
        <v>20</v>
      </c>
      <c r="D604" s="42">
        <f>IFERROR(AVERAGE(Data!D609), "  ")</f>
        <v>64</v>
      </c>
      <c r="E604" s="42">
        <f>IFERROR(AVERAGE(Data!E609), "  ")</f>
        <v>534</v>
      </c>
      <c r="F604" s="42">
        <f>IFERROR(AVERAGE(Data!F609), "  ")</f>
        <v>548</v>
      </c>
      <c r="G604" s="42">
        <f>IFERROR(AVERAGE(Data!G609), "  ")</f>
        <v>14</v>
      </c>
      <c r="H604" s="44">
        <f>IFERROR(AVERAGE(Data!H609), "  ")</f>
        <v>-0.11183144246353323</v>
      </c>
      <c r="I604" s="44">
        <f>IFERROR(AVERAGE(Data!I609), "  ")</f>
        <v>-0.18473282442748093</v>
      </c>
      <c r="J604" s="42">
        <f>IFERROR(AVERAGE(Data!J609), "  ")</f>
        <v>-121</v>
      </c>
      <c r="K604" s="44">
        <f>IFERROR(AVERAGE(Data!K609), "  ")</f>
        <v>-8.3612040133779264E-2</v>
      </c>
      <c r="L604" s="45">
        <f>IFERROR(AVERAGE(Data!L609), "  ")</f>
        <v>597.66666666666663</v>
      </c>
    </row>
    <row r="605" spans="1:12" x14ac:dyDescent="0.2">
      <c r="A605" s="43">
        <f>Data!A610</f>
        <v>42861</v>
      </c>
      <c r="B605" s="42">
        <f>IFERROR(AVERAGE(Data!B610), "  ")</f>
        <v>161</v>
      </c>
      <c r="C605" s="42">
        <f>IFERROR(AVERAGE(Data!C610), "  ")</f>
        <v>1</v>
      </c>
      <c r="D605" s="42">
        <f>IFERROR(AVERAGE(Data!D610), "  ")</f>
        <v>42</v>
      </c>
      <c r="E605" s="42">
        <f>IFERROR(AVERAGE(Data!E610), "  ")</f>
        <v>204</v>
      </c>
      <c r="F605" s="42">
        <f>IFERROR(AVERAGE(Data!F610), "  ")</f>
        <v>506</v>
      </c>
      <c r="G605" s="42">
        <f>IFERROR(AVERAGE(Data!G610), "  ")</f>
        <v>302</v>
      </c>
      <c r="H605" s="44">
        <f>IFERROR(AVERAGE(Data!H610), "  ")</f>
        <v>-7.6642335766423361E-2</v>
      </c>
      <c r="I605" s="44">
        <f>IFERROR(AVERAGE(Data!I610), "  ")</f>
        <v>-0.6179775280898876</v>
      </c>
      <c r="J605" s="42">
        <f>IFERROR(AVERAGE(Data!J610), "  ")</f>
        <v>-330</v>
      </c>
      <c r="K605" s="44">
        <f>IFERROR(AVERAGE(Data!K610), "  ")</f>
        <v>-0.20813771517996871</v>
      </c>
      <c r="L605" s="45">
        <f>IFERROR(AVERAGE(Data!L610), "  ")</f>
        <v>602.33333333333337</v>
      </c>
    </row>
    <row r="606" spans="1:12" x14ac:dyDescent="0.2">
      <c r="A606" s="43">
        <f>Data!A611</f>
        <v>42868</v>
      </c>
      <c r="B606" s="42">
        <f>IFERROR(AVERAGE(Data!B611), "  ")</f>
        <v>547</v>
      </c>
      <c r="C606" s="42">
        <f>IFERROR(AVERAGE(Data!C611), "  ")</f>
        <v>0</v>
      </c>
      <c r="D606" s="42">
        <f>IFERROR(AVERAGE(Data!D611), "  ")</f>
        <v>75</v>
      </c>
      <c r="E606" s="42">
        <f>IFERROR(AVERAGE(Data!E611), "  ")</f>
        <v>622</v>
      </c>
      <c r="F606" s="42">
        <f>IFERROR(AVERAGE(Data!F611), "  ")</f>
        <v>519</v>
      </c>
      <c r="G606" s="42">
        <f>IFERROR(AVERAGE(Data!G611), "  ")</f>
        <v>-103</v>
      </c>
      <c r="H606" s="44">
        <f>IFERROR(AVERAGE(Data!H611), "  ")</f>
        <v>2.5691699604743084E-2</v>
      </c>
      <c r="I606" s="44">
        <f>IFERROR(AVERAGE(Data!I611), "  ")</f>
        <v>2.0490196078431371</v>
      </c>
      <c r="J606" s="42">
        <f>IFERROR(AVERAGE(Data!J611), "  ")</f>
        <v>418</v>
      </c>
      <c r="K606" s="44">
        <f>IFERROR(AVERAGE(Data!K611), "  ")</f>
        <v>-0.15883306320907617</v>
      </c>
      <c r="L606" s="45">
        <f>IFERROR(AVERAGE(Data!L611), "  ")</f>
        <v>619.33333333333337</v>
      </c>
    </row>
    <row r="607" spans="1:12" x14ac:dyDescent="0.2">
      <c r="A607" s="43">
        <f>Data!A612</f>
        <v>42875</v>
      </c>
      <c r="B607" s="42">
        <f>IFERROR(AVERAGE(Data!B612), "  ")</f>
        <v>352</v>
      </c>
      <c r="C607" s="42">
        <f>IFERROR(AVERAGE(Data!C612), "  ")</f>
        <v>34</v>
      </c>
      <c r="D607" s="42">
        <f>IFERROR(AVERAGE(Data!D612), "  ")</f>
        <v>32</v>
      </c>
      <c r="E607" s="42">
        <f>IFERROR(AVERAGE(Data!E612), "  ")</f>
        <v>418</v>
      </c>
      <c r="F607" s="42">
        <f>IFERROR(AVERAGE(Data!F612), "  ")</f>
        <v>491</v>
      </c>
      <c r="G607" s="42">
        <f>IFERROR(AVERAGE(Data!G612), "  ")</f>
        <v>73</v>
      </c>
      <c r="H607" s="44">
        <f>IFERROR(AVERAGE(Data!H612), "  ")</f>
        <v>-5.3949903660886318E-2</v>
      </c>
      <c r="I607" s="44">
        <f>IFERROR(AVERAGE(Data!I612), "  ")</f>
        <v>-0.32797427652733119</v>
      </c>
      <c r="J607" s="42">
        <f>IFERROR(AVERAGE(Data!J612), "  ")</f>
        <v>-204</v>
      </c>
      <c r="K607" s="44">
        <f>IFERROR(AVERAGE(Data!K612), "  ")</f>
        <v>-1.4056224899598393E-2</v>
      </c>
      <c r="L607" s="45">
        <f>IFERROR(AVERAGE(Data!L612), "  ")</f>
        <v>570.66666666666663</v>
      </c>
    </row>
    <row r="608" spans="1:12" x14ac:dyDescent="0.2">
      <c r="A608" s="43">
        <f>Data!A613</f>
        <v>42882</v>
      </c>
      <c r="B608" s="42">
        <f>IFERROR(AVERAGE(Data!B613), "  ")</f>
        <v>420</v>
      </c>
      <c r="C608" s="42">
        <f>IFERROR(AVERAGE(Data!C613), "  ")</f>
        <v>0</v>
      </c>
      <c r="D608" s="42">
        <f>IFERROR(AVERAGE(Data!D613), "  ")</f>
        <v>62</v>
      </c>
      <c r="E608" s="42">
        <f>IFERROR(AVERAGE(Data!E613), "  ")</f>
        <v>482</v>
      </c>
      <c r="F608" s="42">
        <f>IFERROR(AVERAGE(Data!F613), "  ")</f>
        <v>533</v>
      </c>
      <c r="G608" s="42">
        <f>IFERROR(AVERAGE(Data!G613), "  ")</f>
        <v>51</v>
      </c>
      <c r="H608" s="44">
        <f>IFERROR(AVERAGE(Data!H613), "  ")</f>
        <v>8.5539714867617106E-2</v>
      </c>
      <c r="I608" s="44">
        <f>IFERROR(AVERAGE(Data!I613), "  ")</f>
        <v>0.15311004784688995</v>
      </c>
      <c r="J608" s="42">
        <f>IFERROR(AVERAGE(Data!J613), "  ")</f>
        <v>64</v>
      </c>
      <c r="K608" s="44">
        <f>IFERROR(AVERAGE(Data!K613), "  ")</f>
        <v>0.14623655913978495</v>
      </c>
      <c r="L608" s="45">
        <f>IFERROR(AVERAGE(Data!L613), "  ")</f>
        <v>446.66666666666669</v>
      </c>
    </row>
    <row r="609" spans="1:12" x14ac:dyDescent="0.2">
      <c r="A609" s="43">
        <f>Data!A614</f>
        <v>42889</v>
      </c>
      <c r="B609" s="42">
        <f>IFERROR(AVERAGE(Data!B614), "  ")</f>
        <v>536</v>
      </c>
      <c r="C609" s="42">
        <f>IFERROR(AVERAGE(Data!C614), "  ")</f>
        <v>16</v>
      </c>
      <c r="D609" s="42">
        <f>IFERROR(AVERAGE(Data!D614), "  ")</f>
        <v>60</v>
      </c>
      <c r="E609" s="42">
        <f>IFERROR(AVERAGE(Data!E614), "  ")</f>
        <v>612</v>
      </c>
      <c r="F609" s="42">
        <f>IFERROR(AVERAGE(Data!F614), "  ")</f>
        <v>467</v>
      </c>
      <c r="G609" s="42">
        <f>IFERROR(AVERAGE(Data!G614), "  ")</f>
        <v>-145</v>
      </c>
      <c r="H609" s="44">
        <f>IFERROR(AVERAGE(Data!H614), "  ")</f>
        <v>-0.12382739212007504</v>
      </c>
      <c r="I609" s="44">
        <f>IFERROR(AVERAGE(Data!I614), "  ")</f>
        <v>0.26970954356846472</v>
      </c>
      <c r="J609" s="42">
        <f>IFERROR(AVERAGE(Data!J614), "  ")</f>
        <v>130</v>
      </c>
      <c r="K609" s="44">
        <f>IFERROR(AVERAGE(Data!K614), "  ")</f>
        <v>-0.26917057902973396</v>
      </c>
      <c r="L609" s="45">
        <f>IFERROR(AVERAGE(Data!L614), "  ")</f>
        <v>547.66666666666663</v>
      </c>
    </row>
    <row r="610" spans="1:12" x14ac:dyDescent="0.2">
      <c r="A610" s="43">
        <f>Data!A615</f>
        <v>42896</v>
      </c>
      <c r="B610" s="42">
        <f>IFERROR(AVERAGE(Data!B615), "  ")</f>
        <v>418</v>
      </c>
      <c r="C610" s="42">
        <f>IFERROR(AVERAGE(Data!C615), "  ")</f>
        <v>19</v>
      </c>
      <c r="D610" s="42">
        <f>IFERROR(AVERAGE(Data!D615), "  ")</f>
        <v>25</v>
      </c>
      <c r="E610" s="42">
        <f>IFERROR(AVERAGE(Data!E615), "  ")</f>
        <v>462</v>
      </c>
      <c r="F610" s="42">
        <f>IFERROR(AVERAGE(Data!F615), "  ")</f>
        <v>534</v>
      </c>
      <c r="G610" s="42">
        <f>IFERROR(AVERAGE(Data!G615), "  ")</f>
        <v>72</v>
      </c>
      <c r="H610" s="44">
        <f>IFERROR(AVERAGE(Data!H615), "  ")</f>
        <v>0.14346895074946467</v>
      </c>
      <c r="I610" s="44">
        <f>IFERROR(AVERAGE(Data!I615), "  ")</f>
        <v>-0.24509803921568626</v>
      </c>
      <c r="J610" s="42">
        <f>IFERROR(AVERAGE(Data!J615), "  ")</f>
        <v>-150</v>
      </c>
      <c r="K610" s="44">
        <f>IFERROR(AVERAGE(Data!K615), "  ")</f>
        <v>-0.30918499353169471</v>
      </c>
      <c r="L610" s="45">
        <f>IFERROR(AVERAGE(Data!L615), "  ")</f>
        <v>662.33333333333337</v>
      </c>
    </row>
    <row r="611" spans="1:12" x14ac:dyDescent="0.2">
      <c r="A611" s="43">
        <f>Data!A616</f>
        <v>42903</v>
      </c>
      <c r="B611" s="42">
        <f>IFERROR(AVERAGE(Data!B616), "  ")</f>
        <v>292</v>
      </c>
      <c r="C611" s="42">
        <f>IFERROR(AVERAGE(Data!C616), "  ")</f>
        <v>18</v>
      </c>
      <c r="D611" s="42">
        <f>IFERROR(AVERAGE(Data!D616), "  ")</f>
        <v>46</v>
      </c>
      <c r="E611" s="42">
        <f>IFERROR(AVERAGE(Data!E616), "  ")</f>
        <v>356</v>
      </c>
      <c r="F611" s="42">
        <f>IFERROR(AVERAGE(Data!F616), "  ")</f>
        <v>556</v>
      </c>
      <c r="G611" s="42">
        <f>IFERROR(AVERAGE(Data!G616), "  ")</f>
        <v>200</v>
      </c>
      <c r="H611" s="44">
        <f>IFERROR(AVERAGE(Data!H616), "  ")</f>
        <v>4.1198501872659173E-2</v>
      </c>
      <c r="I611" s="44">
        <f>IFERROR(AVERAGE(Data!I616), "  ")</f>
        <v>-0.22943722943722944</v>
      </c>
      <c r="J611" s="42">
        <f>IFERROR(AVERAGE(Data!J616), "  ")</f>
        <v>-106</v>
      </c>
      <c r="K611" s="44">
        <f>IFERROR(AVERAGE(Data!K616), "  ")</f>
        <v>-0.23310344827586207</v>
      </c>
      <c r="L611" s="45">
        <f>IFERROR(AVERAGE(Data!L616), "  ")</f>
        <v>582.33333333333337</v>
      </c>
    </row>
    <row r="612" spans="1:12" x14ac:dyDescent="0.2">
      <c r="A612" s="43">
        <f>Data!A617</f>
        <v>42910</v>
      </c>
      <c r="B612" s="42">
        <f>IFERROR(AVERAGE(Data!B617), "  ")</f>
        <v>436</v>
      </c>
      <c r="C612" s="42">
        <f>IFERROR(AVERAGE(Data!C617), "  ")</f>
        <v>37</v>
      </c>
      <c r="D612" s="42">
        <f>IFERROR(AVERAGE(Data!D617), "  ")</f>
        <v>38</v>
      </c>
      <c r="E612" s="42">
        <f>IFERROR(AVERAGE(Data!E617), "  ")</f>
        <v>511</v>
      </c>
      <c r="F612" s="42">
        <f>IFERROR(AVERAGE(Data!F617), "  ")</f>
        <v>480</v>
      </c>
      <c r="G612" s="42">
        <f>IFERROR(AVERAGE(Data!G617), "  ")</f>
        <v>-31</v>
      </c>
      <c r="H612" s="44">
        <f>IFERROR(AVERAGE(Data!H617), "  ")</f>
        <v>-0.1366906474820144</v>
      </c>
      <c r="I612" s="44">
        <f>IFERROR(AVERAGE(Data!I617), "  ")</f>
        <v>0.4353932584269663</v>
      </c>
      <c r="J612" s="42">
        <f>IFERROR(AVERAGE(Data!J617), "  ")</f>
        <v>155</v>
      </c>
      <c r="K612" s="44">
        <f>IFERROR(AVERAGE(Data!K617), "  ")</f>
        <v>-0.12408759124087591</v>
      </c>
      <c r="L612" s="45">
        <f>IFERROR(AVERAGE(Data!L617), "  ")</f>
        <v>547.66666666666663</v>
      </c>
    </row>
    <row r="613" spans="1:12" x14ac:dyDescent="0.2">
      <c r="A613" s="43">
        <f>Data!A618</f>
        <v>42917</v>
      </c>
      <c r="B613" s="42">
        <f>IFERROR(AVERAGE(Data!B618), "  ")</f>
        <v>549</v>
      </c>
      <c r="C613" s="42">
        <f>IFERROR(AVERAGE(Data!C618), "  ")</f>
        <v>49</v>
      </c>
      <c r="D613" s="42">
        <f>IFERROR(AVERAGE(Data!D618), "  ")</f>
        <v>14</v>
      </c>
      <c r="E613" s="42">
        <f>IFERROR(AVERAGE(Data!E618), "  ")</f>
        <v>612</v>
      </c>
      <c r="F613" s="42">
        <f>IFERROR(AVERAGE(Data!F618), "  ")</f>
        <v>681</v>
      </c>
      <c r="G613" s="42">
        <f>IFERROR(AVERAGE(Data!G618), "  ")</f>
        <v>69</v>
      </c>
      <c r="H613" s="44">
        <f>IFERROR(AVERAGE(Data!H618), "  ")</f>
        <v>0.41875000000000001</v>
      </c>
      <c r="I613" s="44">
        <f>IFERROR(AVERAGE(Data!I618), "  ")</f>
        <v>0.19765166340508805</v>
      </c>
      <c r="J613" s="42">
        <f>IFERROR(AVERAGE(Data!J618), "  ")</f>
        <v>101</v>
      </c>
      <c r="K613" s="44">
        <f>IFERROR(AVERAGE(Data!K618), "  ")</f>
        <v>0.36746987951807231</v>
      </c>
      <c r="L613" s="45">
        <f>IFERROR(AVERAGE(Data!L618), "  ")</f>
        <v>529.33333333333337</v>
      </c>
    </row>
    <row r="614" spans="1:12" x14ac:dyDescent="0.2">
      <c r="A614" s="43">
        <f>Data!A619</f>
        <v>42924</v>
      </c>
      <c r="B614" s="42">
        <f>IFERROR(AVERAGE(Data!B619), "  ")</f>
        <v>440</v>
      </c>
      <c r="C614" s="42">
        <f>IFERROR(AVERAGE(Data!C619), "  ")</f>
        <v>33</v>
      </c>
      <c r="D614" s="42">
        <f>IFERROR(AVERAGE(Data!D619), "  ")</f>
        <v>41</v>
      </c>
      <c r="E614" s="42">
        <f>IFERROR(AVERAGE(Data!E619), "  ")</f>
        <v>514</v>
      </c>
      <c r="F614" s="42">
        <f>IFERROR(AVERAGE(Data!F619), "  ")</f>
        <v>610</v>
      </c>
      <c r="G614" s="42">
        <f>IFERROR(AVERAGE(Data!G619), "  ")</f>
        <v>96</v>
      </c>
      <c r="H614" s="44">
        <f>IFERROR(AVERAGE(Data!H619), "  ")</f>
        <v>-0.10425844346549193</v>
      </c>
      <c r="I614" s="44">
        <f>IFERROR(AVERAGE(Data!I619), "  ")</f>
        <v>-0.16013071895424835</v>
      </c>
      <c r="J614" s="42">
        <f>IFERROR(AVERAGE(Data!J619), "  ")</f>
        <v>-98</v>
      </c>
      <c r="K614" s="44">
        <f>IFERROR(AVERAGE(Data!K619), "  ")</f>
        <v>-0.25153374233128833</v>
      </c>
      <c r="L614" s="45">
        <f>IFERROR(AVERAGE(Data!L619), "  ")</f>
        <v>675.33333333333337</v>
      </c>
    </row>
    <row r="615" spans="1:12" x14ac:dyDescent="0.2">
      <c r="A615" s="43">
        <f>Data!A620</f>
        <v>42931</v>
      </c>
      <c r="B615" s="42">
        <f>IFERROR(AVERAGE(Data!B620), "  ")</f>
        <v>496</v>
      </c>
      <c r="C615" s="42">
        <f>IFERROR(AVERAGE(Data!C620), "  ")</f>
        <v>63</v>
      </c>
      <c r="D615" s="42">
        <f>IFERROR(AVERAGE(Data!D620), "  ")</f>
        <v>34</v>
      </c>
      <c r="E615" s="42">
        <f>IFERROR(AVERAGE(Data!E620), "  ")</f>
        <v>593</v>
      </c>
      <c r="F615" s="42">
        <f>IFERROR(AVERAGE(Data!F620), "  ")</f>
        <v>674</v>
      </c>
      <c r="G615" s="42">
        <f>IFERROR(AVERAGE(Data!G620), "  ")</f>
        <v>81</v>
      </c>
      <c r="H615" s="44">
        <f>IFERROR(AVERAGE(Data!H620), "  ")</f>
        <v>0.10491803278688525</v>
      </c>
      <c r="I615" s="44">
        <f>IFERROR(AVERAGE(Data!I620), "  ")</f>
        <v>0.15369649805447472</v>
      </c>
      <c r="J615" s="42">
        <f>IFERROR(AVERAGE(Data!J620), "  ")</f>
        <v>79</v>
      </c>
      <c r="K615" s="44">
        <f>IFERROR(AVERAGE(Data!K620), "  ")</f>
        <v>1.5060240963855422E-2</v>
      </c>
      <c r="L615" s="45">
        <f>IFERROR(AVERAGE(Data!L620), "  ")</f>
        <v>544.33333333333337</v>
      </c>
    </row>
    <row r="616" spans="1:12" x14ac:dyDescent="0.2">
      <c r="A616" s="43">
        <f>Data!A621</f>
        <v>42938</v>
      </c>
      <c r="B616" s="42">
        <f>IFERROR(AVERAGE(Data!B621), "  ")</f>
        <v>672</v>
      </c>
      <c r="C616" s="42">
        <f>IFERROR(AVERAGE(Data!C621), "  ")</f>
        <v>28</v>
      </c>
      <c r="D616" s="42">
        <f>IFERROR(AVERAGE(Data!D621), "  ")</f>
        <v>72</v>
      </c>
      <c r="E616" s="42">
        <f>IFERROR(AVERAGE(Data!E621), "  ")</f>
        <v>772</v>
      </c>
      <c r="F616" s="42">
        <f>IFERROR(AVERAGE(Data!F621), "  ")</f>
        <v>686</v>
      </c>
      <c r="G616" s="42">
        <f>IFERROR(AVERAGE(Data!G621), "  ")</f>
        <v>-86</v>
      </c>
      <c r="H616" s="44">
        <f>IFERROR(AVERAGE(Data!H621), "  ")</f>
        <v>1.7804154302670624E-2</v>
      </c>
      <c r="I616" s="44">
        <f>IFERROR(AVERAGE(Data!I621), "  ")</f>
        <v>0.30185497470489037</v>
      </c>
      <c r="J616" s="42">
        <f>IFERROR(AVERAGE(Data!J621), "  ")</f>
        <v>179</v>
      </c>
      <c r="K616" s="44">
        <f>IFERROR(AVERAGE(Data!K621), "  ")</f>
        <v>-0.18816568047337279</v>
      </c>
      <c r="L616" s="45">
        <f>IFERROR(AVERAGE(Data!L621), "  ")</f>
        <v>602.66666666666663</v>
      </c>
    </row>
    <row r="617" spans="1:12" x14ac:dyDescent="0.2">
      <c r="A617" s="43">
        <f>Data!A622</f>
        <v>42945</v>
      </c>
      <c r="B617" s="42">
        <f>IFERROR(AVERAGE(Data!B622), "  ")</f>
        <v>462</v>
      </c>
      <c r="C617" s="42">
        <f>IFERROR(AVERAGE(Data!C622), "  ")</f>
        <v>20</v>
      </c>
      <c r="D617" s="42">
        <f>IFERROR(AVERAGE(Data!D622), "  ")</f>
        <v>36</v>
      </c>
      <c r="E617" s="42">
        <f>IFERROR(AVERAGE(Data!E622), "  ")</f>
        <v>518</v>
      </c>
      <c r="F617" s="42">
        <f>IFERROR(AVERAGE(Data!F622), "  ")</f>
        <v>640</v>
      </c>
      <c r="G617" s="42">
        <f>IFERROR(AVERAGE(Data!G622), "  ")</f>
        <v>122</v>
      </c>
      <c r="H617" s="44">
        <f>IFERROR(AVERAGE(Data!H622), "  ")</f>
        <v>-6.7055393586005832E-2</v>
      </c>
      <c r="I617" s="44">
        <f>IFERROR(AVERAGE(Data!I622), "  ")</f>
        <v>-0.32901554404145078</v>
      </c>
      <c r="J617" s="42">
        <f>IFERROR(AVERAGE(Data!J622), "  ")</f>
        <v>-254</v>
      </c>
      <c r="K617" s="44">
        <f>IFERROR(AVERAGE(Data!K622), "  ")</f>
        <v>-0.11234396671289876</v>
      </c>
      <c r="L617" s="45">
        <f>IFERROR(AVERAGE(Data!L622), "  ")</f>
        <v>526</v>
      </c>
    </row>
    <row r="618" spans="1:12" x14ac:dyDescent="0.2">
      <c r="A618" s="43">
        <f>Data!A623</f>
        <v>42952</v>
      </c>
      <c r="B618" s="42">
        <f>IFERROR(AVERAGE(Data!B623), "  ")</f>
        <v>472</v>
      </c>
      <c r="C618" s="42">
        <f>IFERROR(AVERAGE(Data!C623), "  ")</f>
        <v>24</v>
      </c>
      <c r="D618" s="42">
        <f>IFERROR(AVERAGE(Data!D623), "  ")</f>
        <v>45</v>
      </c>
      <c r="E618" s="42">
        <f>IFERROR(AVERAGE(Data!E623), "  ")</f>
        <v>541</v>
      </c>
      <c r="F618" s="42">
        <f>IFERROR(AVERAGE(Data!F623), "  ")</f>
        <v>633</v>
      </c>
      <c r="G618" s="42">
        <f>IFERROR(AVERAGE(Data!G623), "  ")</f>
        <v>92</v>
      </c>
      <c r="H618" s="44">
        <f>IFERROR(AVERAGE(Data!H623), "  ")</f>
        <v>-1.0937499999999999E-2</v>
      </c>
      <c r="I618" s="44">
        <f>IFERROR(AVERAGE(Data!I623), "  ")</f>
        <v>4.4401544401544403E-2</v>
      </c>
      <c r="J618" s="42">
        <f>IFERROR(AVERAGE(Data!J623), "  ")</f>
        <v>23</v>
      </c>
      <c r="K618" s="44">
        <f>IFERROR(AVERAGE(Data!K623), "  ")</f>
        <v>-0.18532818532818532</v>
      </c>
      <c r="L618" s="45">
        <f>IFERROR(AVERAGE(Data!L623), "  ")</f>
        <v>570</v>
      </c>
    </row>
    <row r="619" spans="1:12" x14ac:dyDescent="0.2">
      <c r="A619" s="43">
        <f>Data!A624</f>
        <v>42959</v>
      </c>
      <c r="B619" s="42">
        <f>IFERROR(AVERAGE(Data!B624), "  ")</f>
        <v>522</v>
      </c>
      <c r="C619" s="42">
        <f>IFERROR(AVERAGE(Data!C624), "  ")</f>
        <v>41</v>
      </c>
      <c r="D619" s="42">
        <f>IFERROR(AVERAGE(Data!D624), "  ")</f>
        <v>41</v>
      </c>
      <c r="E619" s="42">
        <f>IFERROR(AVERAGE(Data!E624), "  ")</f>
        <v>604</v>
      </c>
      <c r="F619" s="42">
        <f>IFERROR(AVERAGE(Data!F624), "  ")</f>
        <v>600</v>
      </c>
      <c r="G619" s="42">
        <f>IFERROR(AVERAGE(Data!G624), "  ")</f>
        <v>-4</v>
      </c>
      <c r="H619" s="44">
        <f>IFERROR(AVERAGE(Data!H624), "  ")</f>
        <v>-5.2132701421800945E-2</v>
      </c>
      <c r="I619" s="44">
        <f>IFERROR(AVERAGE(Data!I624), "  ")</f>
        <v>0.11645101663585952</v>
      </c>
      <c r="J619" s="42">
        <f>IFERROR(AVERAGE(Data!J624), "  ")</f>
        <v>63</v>
      </c>
      <c r="K619" s="44">
        <f>IFERROR(AVERAGE(Data!K624), "  ")</f>
        <v>-7.2642967542503864E-2</v>
      </c>
      <c r="L619" s="45">
        <f>IFERROR(AVERAGE(Data!L624), "  ")</f>
        <v>612.33333333333337</v>
      </c>
    </row>
    <row r="620" spans="1:12" x14ac:dyDescent="0.2">
      <c r="A620" s="43">
        <f>Data!A625</f>
        <v>42966</v>
      </c>
      <c r="B620" s="42">
        <f>IFERROR(AVERAGE(Data!B625), "  ")</f>
        <v>598</v>
      </c>
      <c r="C620" s="42">
        <f>IFERROR(AVERAGE(Data!C625), "  ")</f>
        <v>11</v>
      </c>
      <c r="D620" s="42">
        <f>IFERROR(AVERAGE(Data!D625), "  ")</f>
        <v>40</v>
      </c>
      <c r="E620" s="42">
        <f>IFERROR(AVERAGE(Data!E625), "  ")</f>
        <v>649</v>
      </c>
      <c r="F620" s="42">
        <f>IFERROR(AVERAGE(Data!F625), "  ")</f>
        <v>677</v>
      </c>
      <c r="G620" s="42">
        <f>IFERROR(AVERAGE(Data!G625), "  ")</f>
        <v>28</v>
      </c>
      <c r="H620" s="44">
        <f>IFERROR(AVERAGE(Data!H625), "  ")</f>
        <v>0.12833333333333333</v>
      </c>
      <c r="I620" s="44">
        <f>IFERROR(AVERAGE(Data!I625), "  ")</f>
        <v>7.4503311258278151E-2</v>
      </c>
      <c r="J620" s="42">
        <f>IFERROR(AVERAGE(Data!J625), "  ")</f>
        <v>45</v>
      </c>
      <c r="K620" s="44">
        <f>IFERROR(AVERAGE(Data!K625), "  ")</f>
        <v>-0.19786729857819904</v>
      </c>
      <c r="L620" s="45">
        <f>IFERROR(AVERAGE(Data!L625), "  ")</f>
        <v>640.66666666666663</v>
      </c>
    </row>
    <row r="621" spans="1:12" x14ac:dyDescent="0.2">
      <c r="A621" s="43">
        <f>Data!A626</f>
        <v>42973</v>
      </c>
      <c r="B621" s="42">
        <f>IFERROR(AVERAGE(Data!B626), "  ")</f>
        <v>487</v>
      </c>
      <c r="C621" s="42">
        <f>IFERROR(AVERAGE(Data!C626), "  ")</f>
        <v>45</v>
      </c>
      <c r="D621" s="42">
        <f>IFERROR(AVERAGE(Data!D626), "  ")</f>
        <v>43</v>
      </c>
      <c r="E621" s="42">
        <f>IFERROR(AVERAGE(Data!E626), "  ")</f>
        <v>575</v>
      </c>
      <c r="F621" s="42">
        <f>IFERROR(AVERAGE(Data!F626), "  ")</f>
        <v>662</v>
      </c>
      <c r="G621" s="42">
        <f>IFERROR(AVERAGE(Data!G626), "  ")</f>
        <v>87</v>
      </c>
      <c r="H621" s="44">
        <f>IFERROR(AVERAGE(Data!H626), "  ")</f>
        <v>-2.2156573116691284E-2</v>
      </c>
      <c r="I621" s="44">
        <f>IFERROR(AVERAGE(Data!I626), "  ")</f>
        <v>-0.1140215716486903</v>
      </c>
      <c r="J621" s="42">
        <f>IFERROR(AVERAGE(Data!J626), "  ")</f>
        <v>-74</v>
      </c>
      <c r="K621" s="44">
        <f>IFERROR(AVERAGE(Data!K626), "  ")</f>
        <v>-0.27650273224043714</v>
      </c>
      <c r="L621" s="45">
        <f>IFERROR(AVERAGE(Data!L626), "  ")</f>
        <v>628.33333333333337</v>
      </c>
    </row>
    <row r="622" spans="1:12" x14ac:dyDescent="0.2">
      <c r="A622" s="43">
        <f>Data!A627</f>
        <v>42980</v>
      </c>
      <c r="B622" s="42">
        <f>IFERROR(AVERAGE(Data!B627), "  ")</f>
        <v>334</v>
      </c>
      <c r="C622" s="42">
        <f>IFERROR(AVERAGE(Data!C627), "  ")</f>
        <v>21</v>
      </c>
      <c r="D622" s="42">
        <f>IFERROR(AVERAGE(Data!D627), "  ")</f>
        <v>30</v>
      </c>
      <c r="E622" s="42">
        <f>IFERROR(AVERAGE(Data!E627), "  ")</f>
        <v>385</v>
      </c>
      <c r="F622" s="42">
        <f>IFERROR(AVERAGE(Data!F627), "  ")</f>
        <v>638</v>
      </c>
      <c r="G622" s="42">
        <f>IFERROR(AVERAGE(Data!G627), "  ")</f>
        <v>253</v>
      </c>
      <c r="H622" s="44">
        <f>IFERROR(AVERAGE(Data!H627), "  ")</f>
        <v>-3.6253776435045321E-2</v>
      </c>
      <c r="I622" s="44">
        <f>IFERROR(AVERAGE(Data!I627), "  ")</f>
        <v>-0.33043478260869563</v>
      </c>
      <c r="J622" s="42">
        <f>IFERROR(AVERAGE(Data!J627), "  ")</f>
        <v>-190</v>
      </c>
      <c r="K622" s="44">
        <f>IFERROR(AVERAGE(Data!K627), "  ")</f>
        <v>-0.36831683168316831</v>
      </c>
      <c r="L622" s="45">
        <f>IFERROR(AVERAGE(Data!L627), "  ")</f>
        <v>745.33333333333337</v>
      </c>
    </row>
    <row r="623" spans="1:12" x14ac:dyDescent="0.2">
      <c r="A623" s="43">
        <f>Data!A628</f>
        <v>42987</v>
      </c>
      <c r="B623" s="42">
        <f>IFERROR(AVERAGE(Data!B628), "  ")</f>
        <v>553</v>
      </c>
      <c r="C623" s="42">
        <f>IFERROR(AVERAGE(Data!C628), "  ")</f>
        <v>30</v>
      </c>
      <c r="D623" s="42">
        <f>IFERROR(AVERAGE(Data!D628), "  ")</f>
        <v>30</v>
      </c>
      <c r="E623" s="42">
        <f>IFERROR(AVERAGE(Data!E628), "  ")</f>
        <v>613</v>
      </c>
      <c r="F623" s="42">
        <f>IFERROR(AVERAGE(Data!F628), "  ")</f>
        <v>851</v>
      </c>
      <c r="G623" s="42">
        <f>IFERROR(AVERAGE(Data!G628), "  ")</f>
        <v>238</v>
      </c>
      <c r="H623" s="44">
        <f>IFERROR(AVERAGE(Data!H628), "  ")</f>
        <v>0.33385579937304077</v>
      </c>
      <c r="I623" s="44">
        <f>IFERROR(AVERAGE(Data!I628), "  ")</f>
        <v>0.59220779220779218</v>
      </c>
      <c r="J623" s="42">
        <f>IFERROR(AVERAGE(Data!J628), "  ")</f>
        <v>228</v>
      </c>
      <c r="K623" s="44">
        <f>IFERROR(AVERAGE(Data!K628), "  ")</f>
        <v>-5.8628318584070797E-2</v>
      </c>
      <c r="L623" s="45">
        <f>IFERROR(AVERAGE(Data!L628), "  ")</f>
        <v>713</v>
      </c>
    </row>
    <row r="624" spans="1:12" x14ac:dyDescent="0.2">
      <c r="A624" s="43">
        <f>Data!A629</f>
        <v>42994</v>
      </c>
      <c r="B624" s="42">
        <f>IFERROR(AVERAGE(Data!B629), "  ")</f>
        <v>323</v>
      </c>
      <c r="C624" s="42">
        <f>IFERROR(AVERAGE(Data!C629), "  ")</f>
        <v>14</v>
      </c>
      <c r="D624" s="42">
        <f>IFERROR(AVERAGE(Data!D629), "  ")</f>
        <v>20</v>
      </c>
      <c r="E624" s="42">
        <f>IFERROR(AVERAGE(Data!E629), "  ")</f>
        <v>357</v>
      </c>
      <c r="F624" s="42">
        <f>IFERROR(AVERAGE(Data!F629), "  ")</f>
        <v>733</v>
      </c>
      <c r="G624" s="42">
        <f>IFERROR(AVERAGE(Data!G629), "  ")</f>
        <v>376</v>
      </c>
      <c r="H624" s="44">
        <f>IFERROR(AVERAGE(Data!H629), "  ")</f>
        <v>-0.13866039952996476</v>
      </c>
      <c r="I624" s="44">
        <f>IFERROR(AVERAGE(Data!I629), "  ")</f>
        <v>-0.41761827079934749</v>
      </c>
      <c r="J624" s="42">
        <f>IFERROR(AVERAGE(Data!J629), "  ")</f>
        <v>-256</v>
      </c>
      <c r="K624" s="44">
        <f>IFERROR(AVERAGE(Data!K629), "  ")</f>
        <v>2.5174825174825177E-2</v>
      </c>
      <c r="L624" s="45">
        <f>IFERROR(AVERAGE(Data!L629), "  ")</f>
        <v>726</v>
      </c>
    </row>
    <row r="625" spans="1:12" x14ac:dyDescent="0.2">
      <c r="A625" s="43">
        <f>Data!A630</f>
        <v>43001</v>
      </c>
      <c r="B625" s="42">
        <f>IFERROR(AVERAGE(Data!B630), "  ")</f>
        <v>120</v>
      </c>
      <c r="C625" s="42">
        <f>IFERROR(AVERAGE(Data!C630), "  ")</f>
        <v>52</v>
      </c>
      <c r="D625" s="42">
        <f>IFERROR(AVERAGE(Data!D630), "  ")</f>
        <v>49</v>
      </c>
      <c r="E625" s="42">
        <f>IFERROR(AVERAGE(Data!E630), "  ")</f>
        <v>221</v>
      </c>
      <c r="F625" s="42">
        <f>IFERROR(AVERAGE(Data!F630), "  ")</f>
        <v>754</v>
      </c>
      <c r="G625" s="42">
        <f>IFERROR(AVERAGE(Data!G630), "  ")</f>
        <v>533</v>
      </c>
      <c r="H625" s="44">
        <f>IFERROR(AVERAGE(Data!H630), "  ")</f>
        <v>2.8649386084583901E-2</v>
      </c>
      <c r="I625" s="44">
        <f>IFERROR(AVERAGE(Data!I630), "  ")</f>
        <v>-0.38095238095238093</v>
      </c>
      <c r="J625" s="42">
        <f>IFERROR(AVERAGE(Data!J630), "  ")</f>
        <v>-136</v>
      </c>
      <c r="K625" s="44">
        <f>IFERROR(AVERAGE(Data!K630), "  ")</f>
        <v>1.891891891891892E-2</v>
      </c>
      <c r="L625" s="45">
        <f>IFERROR(AVERAGE(Data!L630), "  ")</f>
        <v>737.33333333333337</v>
      </c>
    </row>
    <row r="626" spans="1:12" x14ac:dyDescent="0.2">
      <c r="A626" s="43">
        <f>Data!A631</f>
        <v>43008</v>
      </c>
      <c r="B626" s="42">
        <f>IFERROR(AVERAGE(Data!B631), "  ")</f>
        <v>393</v>
      </c>
      <c r="C626" s="42">
        <f>IFERROR(AVERAGE(Data!C631), "  ")</f>
        <v>83</v>
      </c>
      <c r="D626" s="42">
        <f>IFERROR(AVERAGE(Data!D631), "  ")</f>
        <v>56</v>
      </c>
      <c r="E626" s="42">
        <f>IFERROR(AVERAGE(Data!E631), "  ")</f>
        <v>532</v>
      </c>
      <c r="F626" s="42">
        <f>IFERROR(AVERAGE(Data!F631), "  ")</f>
        <v>722</v>
      </c>
      <c r="G626" s="42">
        <f>IFERROR(AVERAGE(Data!G631), "  ")</f>
        <v>190</v>
      </c>
      <c r="H626" s="44">
        <f>IFERROR(AVERAGE(Data!H631), "  ")</f>
        <v>-4.2440318302387266E-2</v>
      </c>
      <c r="I626" s="44">
        <f>IFERROR(AVERAGE(Data!I631), "  ")</f>
        <v>1.407239819004525</v>
      </c>
      <c r="J626" s="42">
        <f>IFERROR(AVERAGE(Data!J631), "  ")</f>
        <v>311</v>
      </c>
      <c r="K626" s="44">
        <f>IFERROR(AVERAGE(Data!K631), "  ")</f>
        <v>-0.11951219512195121</v>
      </c>
      <c r="L626" s="45">
        <f>IFERROR(AVERAGE(Data!L631), "  ")</f>
        <v>776.33333333333337</v>
      </c>
    </row>
    <row r="627" spans="1:12" x14ac:dyDescent="0.2">
      <c r="A627" s="43">
        <f>Data!A632</f>
        <v>43015</v>
      </c>
      <c r="B627" s="42">
        <f>IFERROR(AVERAGE(Data!B632), "  ")</f>
        <v>267</v>
      </c>
      <c r="C627" s="42">
        <f>IFERROR(AVERAGE(Data!C632), "  ")</f>
        <v>57</v>
      </c>
      <c r="D627" s="42">
        <f>IFERROR(AVERAGE(Data!D632), "  ")</f>
        <v>58</v>
      </c>
      <c r="E627" s="42">
        <f>IFERROR(AVERAGE(Data!E632), "  ")</f>
        <v>382</v>
      </c>
      <c r="F627" s="42">
        <f>IFERROR(AVERAGE(Data!F632), "  ")</f>
        <v>671</v>
      </c>
      <c r="G627" s="42">
        <f>IFERROR(AVERAGE(Data!G632), "  ")</f>
        <v>289</v>
      </c>
      <c r="H627" s="44">
        <f>IFERROR(AVERAGE(Data!H632), "  ")</f>
        <v>-7.0637119113573413E-2</v>
      </c>
      <c r="I627" s="44">
        <f>IFERROR(AVERAGE(Data!I632), "  ")</f>
        <v>-0.28195488721804512</v>
      </c>
      <c r="J627" s="42">
        <f>IFERROR(AVERAGE(Data!J632), "  ")</f>
        <v>-150</v>
      </c>
      <c r="K627" s="44">
        <f>IFERROR(AVERAGE(Data!K632), "  ")</f>
        <v>-0.27065217391304347</v>
      </c>
      <c r="L627" s="45">
        <f>IFERROR(AVERAGE(Data!L632), "  ")</f>
        <v>852.66666666666663</v>
      </c>
    </row>
    <row r="628" spans="1:12" x14ac:dyDescent="0.2">
      <c r="A628" s="43">
        <f>Data!A633</f>
        <v>43022</v>
      </c>
      <c r="B628" s="42">
        <f>IFERROR(AVERAGE(Data!B633), "  ")</f>
        <v>255</v>
      </c>
      <c r="C628" s="42">
        <f>IFERROR(AVERAGE(Data!C633), "  ")</f>
        <v>48</v>
      </c>
      <c r="D628" s="42">
        <f>IFERROR(AVERAGE(Data!D633), "  ")</f>
        <v>20</v>
      </c>
      <c r="E628" s="42">
        <f>IFERROR(AVERAGE(Data!E633), "  ")</f>
        <v>323</v>
      </c>
      <c r="F628" s="42">
        <f>IFERROR(AVERAGE(Data!F633), "  ")</f>
        <v>713</v>
      </c>
      <c r="G628" s="42">
        <f>IFERROR(AVERAGE(Data!G633), "  ")</f>
        <v>390</v>
      </c>
      <c r="H628" s="44">
        <f>IFERROR(AVERAGE(Data!H633), "  ")</f>
        <v>6.259314456035768E-2</v>
      </c>
      <c r="I628" s="44">
        <f>IFERROR(AVERAGE(Data!I633), "  ")</f>
        <v>-0.15445026178010471</v>
      </c>
      <c r="J628" s="42">
        <f>IFERROR(AVERAGE(Data!J633), "  ")</f>
        <v>-59</v>
      </c>
      <c r="K628" s="44">
        <f>IFERROR(AVERAGE(Data!K633), "  ")</f>
        <v>-0.23497854077253219</v>
      </c>
      <c r="L628" s="45">
        <f>IFERROR(AVERAGE(Data!L633), "  ")</f>
        <v>911.33333333333337</v>
      </c>
    </row>
    <row r="629" spans="1:12" x14ac:dyDescent="0.2">
      <c r="A629" s="43">
        <f>Data!A634</f>
        <v>43029</v>
      </c>
      <c r="B629" s="42">
        <f>IFERROR(AVERAGE(Data!B634), "  ")</f>
        <v>203</v>
      </c>
      <c r="C629" s="42">
        <f>IFERROR(AVERAGE(Data!C634), "  ")</f>
        <v>40</v>
      </c>
      <c r="D629" s="42">
        <f>IFERROR(AVERAGE(Data!D634), "  ")</f>
        <v>106</v>
      </c>
      <c r="E629" s="42">
        <f>IFERROR(AVERAGE(Data!E634), "  ")</f>
        <v>349</v>
      </c>
      <c r="F629" s="42">
        <f>IFERROR(AVERAGE(Data!F634), "  ")</f>
        <v>1022</v>
      </c>
      <c r="G629" s="42">
        <f>IFERROR(AVERAGE(Data!G634), "  ")</f>
        <v>673</v>
      </c>
      <c r="H629" s="44">
        <f>IFERROR(AVERAGE(Data!H634), "  ")</f>
        <v>0.43338008415147267</v>
      </c>
      <c r="I629" s="44">
        <f>IFERROR(AVERAGE(Data!I634), "  ")</f>
        <v>8.0495356037151702E-2</v>
      </c>
      <c r="J629" s="42">
        <f>IFERROR(AVERAGE(Data!J634), "  ")</f>
        <v>26</v>
      </c>
      <c r="K629" s="44">
        <f>IFERROR(AVERAGE(Data!K634), "  ")</f>
        <v>6.569343065693431E-2</v>
      </c>
      <c r="L629" s="45">
        <f>IFERROR(AVERAGE(Data!L634), "  ")</f>
        <v>909.66666666666663</v>
      </c>
    </row>
    <row r="630" spans="1:12" x14ac:dyDescent="0.2">
      <c r="A630" s="43">
        <f>Data!A635</f>
        <v>43036</v>
      </c>
      <c r="B630" s="42">
        <f>IFERROR(AVERAGE(Data!B635), "  ")</f>
        <v>404</v>
      </c>
      <c r="C630" s="42">
        <f>IFERROR(AVERAGE(Data!C635), "  ")</f>
        <v>43</v>
      </c>
      <c r="D630" s="42">
        <f>IFERROR(AVERAGE(Data!D635), "  ")</f>
        <v>99</v>
      </c>
      <c r="E630" s="42">
        <f>IFERROR(AVERAGE(Data!E635), "  ")</f>
        <v>546</v>
      </c>
      <c r="F630" s="42">
        <f>IFERROR(AVERAGE(Data!F635), "  ")</f>
        <v>875</v>
      </c>
      <c r="G630" s="42">
        <f>IFERROR(AVERAGE(Data!G635), "  ")</f>
        <v>329</v>
      </c>
      <c r="H630" s="44">
        <f>IFERROR(AVERAGE(Data!H635), "  ")</f>
        <v>-0.14383561643835616</v>
      </c>
      <c r="I630" s="44">
        <f>IFERROR(AVERAGE(Data!I635), "  ")</f>
        <v>0.5644699140401146</v>
      </c>
      <c r="J630" s="42">
        <f>IFERROR(AVERAGE(Data!J635), "  ")</f>
        <v>197</v>
      </c>
      <c r="K630" s="44">
        <f>IFERROR(AVERAGE(Data!K635), "  ")</f>
        <v>-9.3264248704663211E-2</v>
      </c>
      <c r="L630" s="45">
        <f>IFERROR(AVERAGE(Data!L635), "  ")</f>
        <v>858</v>
      </c>
    </row>
    <row r="631" spans="1:12" x14ac:dyDescent="0.2">
      <c r="A631" s="43">
        <f>Data!A636</f>
        <v>43043</v>
      </c>
      <c r="B631" s="42">
        <f>IFERROR(AVERAGE(Data!B636), "  ")</f>
        <v>369</v>
      </c>
      <c r="C631" s="42">
        <f>IFERROR(AVERAGE(Data!C636), "  ")</f>
        <v>34</v>
      </c>
      <c r="D631" s="42">
        <f>IFERROR(AVERAGE(Data!D636), "  ")</f>
        <v>192</v>
      </c>
      <c r="E631" s="42">
        <f>IFERROR(AVERAGE(Data!E636), "  ")</f>
        <v>595</v>
      </c>
      <c r="F631" s="42">
        <f>IFERROR(AVERAGE(Data!F636), "  ")</f>
        <v>1056</v>
      </c>
      <c r="G631" s="42">
        <f>IFERROR(AVERAGE(Data!G636), "  ")</f>
        <v>461</v>
      </c>
      <c r="H631" s="44">
        <f>IFERROR(AVERAGE(Data!H636), "  ")</f>
        <v>0.20685714285714285</v>
      </c>
      <c r="I631" s="44">
        <f>IFERROR(AVERAGE(Data!I636), "  ")</f>
        <v>8.9743589743589744E-2</v>
      </c>
      <c r="J631" s="42">
        <f>IFERROR(AVERAGE(Data!J636), "  ")</f>
        <v>49</v>
      </c>
      <c r="K631" s="44">
        <f>IFERROR(AVERAGE(Data!K636), "  ")</f>
        <v>1.2464046021093002E-2</v>
      </c>
      <c r="L631" s="45">
        <f>IFERROR(AVERAGE(Data!L636), "  ")</f>
        <v>931.33333333333337</v>
      </c>
    </row>
    <row r="632" spans="1:12" x14ac:dyDescent="0.2">
      <c r="A632" s="43">
        <f>Data!A637</f>
        <v>43050</v>
      </c>
      <c r="B632" s="42">
        <f>IFERROR(AVERAGE(Data!B637), "  ")</f>
        <v>546</v>
      </c>
      <c r="C632" s="42">
        <f>IFERROR(AVERAGE(Data!C637), "  ")</f>
        <v>54</v>
      </c>
      <c r="D632" s="42">
        <f>IFERROR(AVERAGE(Data!D637), "  ")</f>
        <v>95</v>
      </c>
      <c r="E632" s="42">
        <f>IFERROR(AVERAGE(Data!E637), "  ")</f>
        <v>695</v>
      </c>
      <c r="F632" s="42">
        <f>IFERROR(AVERAGE(Data!F637), "  ")</f>
        <v>1031</v>
      </c>
      <c r="G632" s="42">
        <f>IFERROR(AVERAGE(Data!G637), "  ")</f>
        <v>336</v>
      </c>
      <c r="H632" s="44">
        <f>IFERROR(AVERAGE(Data!H637), "  ")</f>
        <v>-2.3674242424242424E-2</v>
      </c>
      <c r="I632" s="44">
        <f>IFERROR(AVERAGE(Data!I637), "  ")</f>
        <v>0.16806722689075632</v>
      </c>
      <c r="J632" s="42">
        <f>IFERROR(AVERAGE(Data!J637), "  ")</f>
        <v>100</v>
      </c>
      <c r="K632" s="44">
        <f>IFERROR(AVERAGE(Data!K637), "  ")</f>
        <v>0.12554585152838427</v>
      </c>
      <c r="L632" s="45">
        <f>IFERROR(AVERAGE(Data!L637), "  ")</f>
        <v>1001.3333333333334</v>
      </c>
    </row>
    <row r="633" spans="1:12" x14ac:dyDescent="0.2">
      <c r="A633" s="43">
        <f>Data!A638</f>
        <v>43057</v>
      </c>
      <c r="B633" s="42">
        <f>IFERROR(AVERAGE(Data!B638), "  ")</f>
        <v>404</v>
      </c>
      <c r="C633" s="42">
        <f>IFERROR(AVERAGE(Data!C638), "  ")</f>
        <v>44</v>
      </c>
      <c r="D633" s="42">
        <f>IFERROR(AVERAGE(Data!D638), "  ")</f>
        <v>106</v>
      </c>
      <c r="E633" s="42">
        <f>IFERROR(AVERAGE(Data!E638), "  ")</f>
        <v>554</v>
      </c>
      <c r="F633" s="42">
        <f>IFERROR(AVERAGE(Data!F638), "  ")</f>
        <v>1033</v>
      </c>
      <c r="G633" s="42">
        <f>IFERROR(AVERAGE(Data!G638), "  ")</f>
        <v>479</v>
      </c>
      <c r="H633" s="44">
        <f>IFERROR(AVERAGE(Data!H638), "  ")</f>
        <v>1.9398642095053346E-3</v>
      </c>
      <c r="I633" s="44">
        <f>IFERROR(AVERAGE(Data!I638), "  ")</f>
        <v>-0.20287769784172663</v>
      </c>
      <c r="J633" s="42">
        <f>IFERROR(AVERAGE(Data!J638), "  ")</f>
        <v>-141</v>
      </c>
      <c r="K633" s="44">
        <f>IFERROR(AVERAGE(Data!K638), "  ")</f>
        <v>-2.3629489603024575E-2</v>
      </c>
      <c r="L633" s="45">
        <f>IFERROR(AVERAGE(Data!L638), "  ")</f>
        <v>1008.6666666666666</v>
      </c>
    </row>
    <row r="634" spans="1:12" x14ac:dyDescent="0.2">
      <c r="A634" s="43">
        <f>Data!A639</f>
        <v>43064</v>
      </c>
      <c r="B634" s="42">
        <f>IFERROR(AVERAGE(Data!B639), "  ")</f>
        <v>562</v>
      </c>
      <c r="C634" s="42">
        <f>IFERROR(AVERAGE(Data!C639), "  ")</f>
        <v>57</v>
      </c>
      <c r="D634" s="42">
        <f>IFERROR(AVERAGE(Data!D639), "  ")</f>
        <v>125</v>
      </c>
      <c r="E634" s="42">
        <f>IFERROR(AVERAGE(Data!E639), "  ")</f>
        <v>744</v>
      </c>
      <c r="F634" s="42">
        <f>IFERROR(AVERAGE(Data!F639), "  ")</f>
        <v>870</v>
      </c>
      <c r="G634" s="42">
        <f>IFERROR(AVERAGE(Data!G639), "  ")</f>
        <v>126</v>
      </c>
      <c r="H634" s="44">
        <f>IFERROR(AVERAGE(Data!H639), "  ")</f>
        <v>-0.15779283639883834</v>
      </c>
      <c r="I634" s="44">
        <f>IFERROR(AVERAGE(Data!I639), "  ")</f>
        <v>0.34296028880866425</v>
      </c>
      <c r="J634" s="42">
        <f>IFERROR(AVERAGE(Data!J639), "  ")</f>
        <v>190</v>
      </c>
      <c r="K634" s="44">
        <f>IFERROR(AVERAGE(Data!K639), "  ")</f>
        <v>-0.16184971098265896</v>
      </c>
      <c r="L634" s="45">
        <f>IFERROR(AVERAGE(Data!L639), "  ")</f>
        <v>1001.3333333333334</v>
      </c>
    </row>
    <row r="635" spans="1:12" x14ac:dyDescent="0.2">
      <c r="A635" s="43">
        <f>Data!A640</f>
        <v>43071</v>
      </c>
      <c r="B635" s="42">
        <f>IFERROR(AVERAGE(Data!B640), "  ")</f>
        <v>391</v>
      </c>
      <c r="C635" s="42">
        <f>IFERROR(AVERAGE(Data!C640), "  ")</f>
        <v>29</v>
      </c>
      <c r="D635" s="42">
        <f>IFERROR(AVERAGE(Data!D640), "  ")</f>
        <v>35</v>
      </c>
      <c r="E635" s="42">
        <f>IFERROR(AVERAGE(Data!E640), "  ")</f>
        <v>455</v>
      </c>
      <c r="F635" s="42">
        <f>IFERROR(AVERAGE(Data!F640), "  ")</f>
        <v>863</v>
      </c>
      <c r="G635" s="42">
        <f>IFERROR(AVERAGE(Data!G640), "  ")</f>
        <v>408</v>
      </c>
      <c r="H635" s="44">
        <f>IFERROR(AVERAGE(Data!H640), "  ")</f>
        <v>-8.0459770114942528E-3</v>
      </c>
      <c r="I635" s="44">
        <f>IFERROR(AVERAGE(Data!I640), "  ")</f>
        <v>-0.38844086021505375</v>
      </c>
      <c r="J635" s="42">
        <f>IFERROR(AVERAGE(Data!J640), "  ")</f>
        <v>-289</v>
      </c>
      <c r="K635" s="44">
        <f>IFERROR(AVERAGE(Data!K640), "  ")</f>
        <v>-0.14299900695134063</v>
      </c>
      <c r="L635" s="45">
        <f>IFERROR(AVERAGE(Data!L640), "  ")</f>
        <v>882.66666666666663</v>
      </c>
    </row>
    <row r="636" spans="1:12" x14ac:dyDescent="0.2">
      <c r="A636" s="43">
        <f>Data!A641</f>
        <v>43078</v>
      </c>
      <c r="B636" s="42">
        <f>IFERROR(AVERAGE(Data!B641), "  ")</f>
        <v>377</v>
      </c>
      <c r="C636" s="42">
        <f>IFERROR(AVERAGE(Data!C641), "  ")</f>
        <v>52</v>
      </c>
      <c r="D636" s="42">
        <f>IFERROR(AVERAGE(Data!D641), "  ")</f>
        <v>95</v>
      </c>
      <c r="E636" s="42">
        <f>IFERROR(AVERAGE(Data!E641), "  ")</f>
        <v>524</v>
      </c>
      <c r="F636" s="42">
        <f>IFERROR(AVERAGE(Data!F641), "  ")</f>
        <v>676</v>
      </c>
      <c r="G636" s="42">
        <f>IFERROR(AVERAGE(Data!G641), "  ")</f>
        <v>152</v>
      </c>
      <c r="H636" s="44">
        <f>IFERROR(AVERAGE(Data!H641), "  ")</f>
        <v>-0.21668597914252608</v>
      </c>
      <c r="I636" s="44">
        <f>IFERROR(AVERAGE(Data!I641), "  ")</f>
        <v>0.15164835164835164</v>
      </c>
      <c r="J636" s="42">
        <f>IFERROR(AVERAGE(Data!J641), "  ")</f>
        <v>69</v>
      </c>
      <c r="K636" s="44">
        <f>IFERROR(AVERAGE(Data!K641), "  ")</f>
        <v>-0.26760563380281688</v>
      </c>
      <c r="L636" s="45">
        <f>IFERROR(AVERAGE(Data!L641), "  ")</f>
        <v>949</v>
      </c>
    </row>
    <row r="637" spans="1:12" x14ac:dyDescent="0.2">
      <c r="A637" s="43">
        <f>Data!A642</f>
        <v>43085</v>
      </c>
      <c r="B637" s="42">
        <f>IFERROR(AVERAGE(Data!B642), "  ")</f>
        <v>347</v>
      </c>
      <c r="C637" s="42">
        <f>IFERROR(AVERAGE(Data!C642), "  ")</f>
        <v>35</v>
      </c>
      <c r="D637" s="42">
        <f>IFERROR(AVERAGE(Data!D642), "  ")</f>
        <v>133</v>
      </c>
      <c r="E637" s="42">
        <f>IFERROR(AVERAGE(Data!E642), "  ")</f>
        <v>515</v>
      </c>
      <c r="F637" s="42">
        <f>IFERROR(AVERAGE(Data!F642), "  ")</f>
        <v>922</v>
      </c>
      <c r="G637" s="42">
        <f>IFERROR(AVERAGE(Data!G642), "  ")</f>
        <v>407</v>
      </c>
      <c r="H637" s="44">
        <f>IFERROR(AVERAGE(Data!H642), "  ")</f>
        <v>0.36390532544378701</v>
      </c>
      <c r="I637" s="44">
        <f>IFERROR(AVERAGE(Data!I642), "  ")</f>
        <v>-1.717557251908397E-2</v>
      </c>
      <c r="J637" s="42">
        <f>IFERROR(AVERAGE(Data!J642), "  ")</f>
        <v>-9</v>
      </c>
      <c r="K637" s="44">
        <f>IFERROR(AVERAGE(Data!K642), "  ")</f>
        <v>6.4665127020785224E-2</v>
      </c>
      <c r="L637" s="45">
        <f>IFERROR(AVERAGE(Data!L642), "  ")</f>
        <v>923.33333333333337</v>
      </c>
    </row>
    <row r="638" spans="1:12" x14ac:dyDescent="0.2">
      <c r="A638" s="43">
        <f>Data!A643</f>
        <v>43092</v>
      </c>
      <c r="B638" s="42">
        <f>IFERROR(AVERAGE(Data!B643), "  ")</f>
        <v>237</v>
      </c>
      <c r="C638" s="42">
        <f>IFERROR(AVERAGE(Data!C643), "  ")</f>
        <v>26</v>
      </c>
      <c r="D638" s="42">
        <f>IFERROR(AVERAGE(Data!D643), "  ")</f>
        <v>133</v>
      </c>
      <c r="E638" s="42">
        <f>IFERROR(AVERAGE(Data!E643), "  ")</f>
        <v>396</v>
      </c>
      <c r="F638" s="42">
        <f>IFERROR(AVERAGE(Data!F643), "  ")</f>
        <v>728</v>
      </c>
      <c r="G638" s="42">
        <f>IFERROR(AVERAGE(Data!G643), "  ")</f>
        <v>332</v>
      </c>
      <c r="H638" s="44">
        <f>IFERROR(AVERAGE(Data!H643), "  ")</f>
        <v>-0.210412147505423</v>
      </c>
      <c r="I638" s="44">
        <f>IFERROR(AVERAGE(Data!I643), "  ")</f>
        <v>-0.23106796116504855</v>
      </c>
      <c r="J638" s="42">
        <f>IFERROR(AVERAGE(Data!J643), "  ")</f>
        <v>-119</v>
      </c>
      <c r="K638" s="44">
        <f>IFERROR(AVERAGE(Data!K643), "  ")</f>
        <v>-0.21888412017167383</v>
      </c>
      <c r="L638" s="45">
        <f>IFERROR(AVERAGE(Data!L643), "  ")</f>
        <v>676.33333333333337</v>
      </c>
    </row>
    <row r="639" spans="1:12" x14ac:dyDescent="0.2">
      <c r="A639" s="43">
        <f>Data!A644</f>
        <v>43099</v>
      </c>
      <c r="B639" s="42">
        <f>IFERROR(AVERAGE(Data!B644), "  ")</f>
        <v>181</v>
      </c>
      <c r="C639" s="42">
        <f>IFERROR(AVERAGE(Data!C644), "  ")</f>
        <v>46</v>
      </c>
      <c r="D639" s="42">
        <f>IFERROR(AVERAGE(Data!D644), "  ")</f>
        <v>171</v>
      </c>
      <c r="E639" s="42">
        <f>IFERROR(AVERAGE(Data!E644), "  ")</f>
        <v>398</v>
      </c>
      <c r="F639" s="42">
        <f>IFERROR(AVERAGE(Data!F644), "  ")</f>
        <v>895</v>
      </c>
      <c r="G639" s="42">
        <f>IFERROR(AVERAGE(Data!G644), "  ")</f>
        <v>497</v>
      </c>
      <c r="H639" s="44">
        <f>IFERROR(AVERAGE(Data!H644), "  ")</f>
        <v>0.22939560439560439</v>
      </c>
      <c r="I639" s="44">
        <f>IFERROR(AVERAGE(Data!I644), "  ")</f>
        <v>5.0505050505050509E-3</v>
      </c>
      <c r="J639" s="42">
        <f>IFERROR(AVERAGE(Data!J644), "  ")</f>
        <v>2</v>
      </c>
      <c r="K639" s="44">
        <f>IFERROR(AVERAGE(Data!K644), "  ")</f>
        <v>9.5471236230110154E-2</v>
      </c>
      <c r="L639" s="45">
        <f>IFERROR(AVERAGE(Data!L644), "  ")</f>
        <v>749.33333333333337</v>
      </c>
    </row>
    <row r="640" spans="1:12" x14ac:dyDescent="0.2">
      <c r="A640" s="43">
        <f>Data!A645</f>
        <v>43106</v>
      </c>
      <c r="B640" s="42">
        <f>IFERROR(AVERAGE(Data!B645), "  ")</f>
        <v>45</v>
      </c>
      <c r="C640" s="42">
        <f>IFERROR(AVERAGE(Data!C645), "  ")</f>
        <v>44</v>
      </c>
      <c r="D640" s="42">
        <f>IFERROR(AVERAGE(Data!D645), "  ")</f>
        <v>52</v>
      </c>
      <c r="E640" s="42">
        <f>IFERROR(AVERAGE(Data!E645), "  ")</f>
        <v>141</v>
      </c>
      <c r="F640" s="42">
        <f>IFERROR(AVERAGE(Data!F645), "  ")</f>
        <v>816</v>
      </c>
      <c r="G640" s="42">
        <f>IFERROR(AVERAGE(Data!G645), "  ")</f>
        <v>675</v>
      </c>
      <c r="H640" s="44">
        <f>IFERROR(AVERAGE(Data!H645), "  ")</f>
        <v>-8.826815642458101E-2</v>
      </c>
      <c r="I640" s="44">
        <f>IFERROR(AVERAGE(Data!I645), "  ")</f>
        <v>-0.64572864321608037</v>
      </c>
      <c r="J640" s="42">
        <f>IFERROR(AVERAGE(Data!J645), "  ")</f>
        <v>-257</v>
      </c>
      <c r="K640" s="44">
        <f>IFERROR(AVERAGE(Data!K645), "  ")</f>
        <v>0.21248142644873699</v>
      </c>
      <c r="L640" s="45">
        <f>IFERROR(AVERAGE(Data!L645), "  ")</f>
        <v>815</v>
      </c>
    </row>
    <row r="641" spans="1:12" x14ac:dyDescent="0.2">
      <c r="A641" s="43">
        <f>Data!A646</f>
        <v>43113</v>
      </c>
      <c r="B641" s="42">
        <f>IFERROR(AVERAGE(Data!B646), "  ")</f>
        <v>70</v>
      </c>
      <c r="C641" s="42">
        <f>IFERROR(AVERAGE(Data!C646), "  ")</f>
        <v>13</v>
      </c>
      <c r="D641" s="42">
        <f>IFERROR(AVERAGE(Data!D646), "  ")</f>
        <v>93</v>
      </c>
      <c r="E641" s="42">
        <f>IFERROR(AVERAGE(Data!E646), "  ")</f>
        <v>176</v>
      </c>
      <c r="F641" s="42">
        <f>IFERROR(AVERAGE(Data!F646), "  ")</f>
        <v>747</v>
      </c>
      <c r="G641" s="42">
        <f>IFERROR(AVERAGE(Data!G646), "  ")</f>
        <v>571</v>
      </c>
      <c r="H641" s="44">
        <f>IFERROR(AVERAGE(Data!H646), "  ")</f>
        <v>-8.455882352941177E-2</v>
      </c>
      <c r="I641" s="44">
        <f>IFERROR(AVERAGE(Data!I646), "  ")</f>
        <v>0.24822695035460993</v>
      </c>
      <c r="J641" s="42">
        <f>IFERROR(AVERAGE(Data!J646), "  ")</f>
        <v>35</v>
      </c>
      <c r="K641" s="44">
        <f>IFERROR(AVERAGE(Data!K646), "  ")</f>
        <v>-0.10431654676258993</v>
      </c>
      <c r="L641" s="45">
        <f>IFERROR(AVERAGE(Data!L646), "  ")</f>
        <v>783.66666666666663</v>
      </c>
    </row>
    <row r="642" spans="1:12" x14ac:dyDescent="0.2">
      <c r="A642" s="43">
        <f>Data!A647</f>
        <v>43120</v>
      </c>
      <c r="B642" s="42">
        <f>IFERROR(AVERAGE(Data!B647), "  ")</f>
        <v>36</v>
      </c>
      <c r="C642" s="42">
        <f>IFERROR(AVERAGE(Data!C647), "  ")</f>
        <v>46</v>
      </c>
      <c r="D642" s="42">
        <f>IFERROR(AVERAGE(Data!D647), "  ")</f>
        <v>213</v>
      </c>
      <c r="E642" s="42">
        <f>IFERROR(AVERAGE(Data!E647), "  ")</f>
        <v>295</v>
      </c>
      <c r="F642" s="42">
        <f>IFERROR(AVERAGE(Data!F647), "  ")</f>
        <v>564</v>
      </c>
      <c r="G642" s="42">
        <f>IFERROR(AVERAGE(Data!G647), "  ")</f>
        <v>269</v>
      </c>
      <c r="H642" s="44">
        <f>IFERROR(AVERAGE(Data!H647), "  ")</f>
        <v>-0.24497991967871485</v>
      </c>
      <c r="I642" s="44">
        <f>IFERROR(AVERAGE(Data!I647), "  ")</f>
        <v>0.67613636363636365</v>
      </c>
      <c r="J642" s="42">
        <f>IFERROR(AVERAGE(Data!J647), "  ")</f>
        <v>119</v>
      </c>
      <c r="K642" s="44">
        <f>IFERROR(AVERAGE(Data!K647), "  ")</f>
        <v>-0.34265734265734266</v>
      </c>
      <c r="L642" s="45">
        <f>IFERROR(AVERAGE(Data!L647), "  ")</f>
        <v>762.66666666666663</v>
      </c>
    </row>
    <row r="643" spans="1:12" x14ac:dyDescent="0.2">
      <c r="A643" s="43">
        <f>Data!A648</f>
        <v>43127</v>
      </c>
      <c r="B643" s="42">
        <f>IFERROR(AVERAGE(Data!B648), "  ")</f>
        <v>115</v>
      </c>
      <c r="C643" s="42">
        <f>IFERROR(AVERAGE(Data!C648), "  ")</f>
        <v>40</v>
      </c>
      <c r="D643" s="42">
        <f>IFERROR(AVERAGE(Data!D648), "  ")</f>
        <v>165</v>
      </c>
      <c r="E643" s="42">
        <f>IFERROR(AVERAGE(Data!E648), "  ")</f>
        <v>320</v>
      </c>
      <c r="F643" s="42">
        <f>IFERROR(AVERAGE(Data!F648), "  ")</f>
        <v>780</v>
      </c>
      <c r="G643" s="42">
        <f>IFERROR(AVERAGE(Data!G648), "  ")</f>
        <v>460</v>
      </c>
      <c r="H643" s="44">
        <f>IFERROR(AVERAGE(Data!H648), "  ")</f>
        <v>0.38297872340425532</v>
      </c>
      <c r="I643" s="44">
        <f>IFERROR(AVERAGE(Data!I648), "  ")</f>
        <v>8.4745762711864403E-2</v>
      </c>
      <c r="J643" s="42">
        <f>IFERROR(AVERAGE(Data!J648), "  ")</f>
        <v>25</v>
      </c>
      <c r="K643" s="44">
        <f>IFERROR(AVERAGE(Data!K648), "  ")</f>
        <v>-0.22619047619047619</v>
      </c>
      <c r="L643" s="45">
        <f>IFERROR(AVERAGE(Data!L648), "  ")</f>
        <v>775.33333333333337</v>
      </c>
    </row>
    <row r="644" spans="1:12" x14ac:dyDescent="0.2">
      <c r="A644" s="43">
        <f>Data!A649</f>
        <v>43134</v>
      </c>
      <c r="B644" s="42">
        <f>IFERROR(AVERAGE(Data!B649), "  ")</f>
        <v>129</v>
      </c>
      <c r="C644" s="42">
        <f>IFERROR(AVERAGE(Data!C649), "  ")</f>
        <v>55</v>
      </c>
      <c r="D644" s="42">
        <f>IFERROR(AVERAGE(Data!D649), "  ")</f>
        <v>225</v>
      </c>
      <c r="E644" s="42">
        <f>IFERROR(AVERAGE(Data!E649), "  ")</f>
        <v>409</v>
      </c>
      <c r="F644" s="42">
        <f>IFERROR(AVERAGE(Data!F649), "  ")</f>
        <v>914</v>
      </c>
      <c r="G644" s="42">
        <f>IFERROR(AVERAGE(Data!G649), "  ")</f>
        <v>505</v>
      </c>
      <c r="H644" s="44">
        <f>IFERROR(AVERAGE(Data!H649), "  ")</f>
        <v>0.1717948717948718</v>
      </c>
      <c r="I644" s="44">
        <f>IFERROR(AVERAGE(Data!I649), "  ")</f>
        <v>0.27812500000000001</v>
      </c>
      <c r="J644" s="42">
        <f>IFERROR(AVERAGE(Data!J649), "  ")</f>
        <v>89</v>
      </c>
      <c r="K644" s="44">
        <f>IFERROR(AVERAGE(Data!K649), "  ")</f>
        <v>-3.4846884899683211E-2</v>
      </c>
      <c r="L644" s="45">
        <f>IFERROR(AVERAGE(Data!L649), "  ")</f>
        <v>816.66666666666663</v>
      </c>
    </row>
    <row r="645" spans="1:12" x14ac:dyDescent="0.2">
      <c r="A645" s="43">
        <f>Data!A650</f>
        <v>43141</v>
      </c>
      <c r="B645" s="42">
        <f>IFERROR(AVERAGE(Data!B650), "  ")</f>
        <v>225</v>
      </c>
      <c r="C645" s="42">
        <f>IFERROR(AVERAGE(Data!C650), "  ")</f>
        <v>59</v>
      </c>
      <c r="D645" s="42">
        <f>IFERROR(AVERAGE(Data!D650), "  ")</f>
        <v>194</v>
      </c>
      <c r="E645" s="42">
        <f>IFERROR(AVERAGE(Data!E650), "  ")</f>
        <v>478</v>
      </c>
      <c r="F645" s="42">
        <f>IFERROR(AVERAGE(Data!F650), "  ")</f>
        <v>750</v>
      </c>
      <c r="G645" s="42">
        <f>IFERROR(AVERAGE(Data!G650), "  ")</f>
        <v>272</v>
      </c>
      <c r="H645" s="44">
        <f>IFERROR(AVERAGE(Data!H650), "  ")</f>
        <v>-0.17943107221006566</v>
      </c>
      <c r="I645" s="44">
        <f>IFERROR(AVERAGE(Data!I650), "  ")</f>
        <v>0.1687041564792176</v>
      </c>
      <c r="J645" s="42">
        <f>IFERROR(AVERAGE(Data!J650), "  ")</f>
        <v>69</v>
      </c>
      <c r="K645" s="44">
        <f>IFERROR(AVERAGE(Data!K650), "  ")</f>
        <v>-0.20297555791710944</v>
      </c>
      <c r="L645" s="45">
        <f>IFERROR(AVERAGE(Data!L650), "  ")</f>
        <v>879.33333333333337</v>
      </c>
    </row>
    <row r="646" spans="1:12" x14ac:dyDescent="0.2">
      <c r="A646" s="43">
        <f>Data!A651</f>
        <v>43148</v>
      </c>
      <c r="B646" s="42">
        <f>IFERROR(AVERAGE(Data!B651), "  ")</f>
        <v>156</v>
      </c>
      <c r="C646" s="42">
        <f>IFERROR(AVERAGE(Data!C651), "  ")</f>
        <v>54</v>
      </c>
      <c r="D646" s="42">
        <f>IFERROR(AVERAGE(Data!D651), "  ")</f>
        <v>152</v>
      </c>
      <c r="E646" s="42">
        <f>IFERROR(AVERAGE(Data!E651), "  ")</f>
        <v>362</v>
      </c>
      <c r="F646" s="42">
        <f>IFERROR(AVERAGE(Data!F651), "  ")</f>
        <v>545</v>
      </c>
      <c r="G646" s="42">
        <f>IFERROR(AVERAGE(Data!G651), "  ")</f>
        <v>183</v>
      </c>
      <c r="H646" s="44">
        <f>IFERROR(AVERAGE(Data!H651), "  ")</f>
        <v>-0.27333333333333332</v>
      </c>
      <c r="I646" s="44">
        <f>IFERROR(AVERAGE(Data!I651), "  ")</f>
        <v>-0.24267782426778242</v>
      </c>
      <c r="J646" s="42">
        <f>IFERROR(AVERAGE(Data!J651), "  ")</f>
        <v>-116</v>
      </c>
      <c r="K646" s="44">
        <f>IFERROR(AVERAGE(Data!K651), "  ")</f>
        <v>-0.38626126126126126</v>
      </c>
      <c r="L646" s="45">
        <f>IFERROR(AVERAGE(Data!L651), "  ")</f>
        <v>811.66666666666663</v>
      </c>
    </row>
    <row r="647" spans="1:12" x14ac:dyDescent="0.2">
      <c r="A647" s="43">
        <f>Data!A652</f>
        <v>43155</v>
      </c>
      <c r="B647" s="42">
        <f>IFERROR(AVERAGE(Data!B652), "  ")</f>
        <v>190</v>
      </c>
      <c r="C647" s="42">
        <f>IFERROR(AVERAGE(Data!C652), "  ")</f>
        <v>19</v>
      </c>
      <c r="D647" s="42">
        <f>IFERROR(AVERAGE(Data!D652), "  ")</f>
        <v>55</v>
      </c>
      <c r="E647" s="42">
        <f>IFERROR(AVERAGE(Data!E652), "  ")</f>
        <v>264</v>
      </c>
      <c r="F647" s="42">
        <f>IFERROR(AVERAGE(Data!F652), "  ")</f>
        <v>800</v>
      </c>
      <c r="G647" s="42">
        <f>IFERROR(AVERAGE(Data!G652), "  ")</f>
        <v>536</v>
      </c>
      <c r="H647" s="44">
        <f>IFERROR(AVERAGE(Data!H652), "  ")</f>
        <v>0.46788990825688076</v>
      </c>
      <c r="I647" s="44">
        <f>IFERROR(AVERAGE(Data!I652), "  ")</f>
        <v>-0.27071823204419887</v>
      </c>
      <c r="J647" s="42">
        <f>IFERROR(AVERAGE(Data!J652), "  ")</f>
        <v>-98</v>
      </c>
      <c r="K647" s="44">
        <f>IFERROR(AVERAGE(Data!K652), "  ")</f>
        <v>-1.8404907975460124E-2</v>
      </c>
      <c r="L647" s="45">
        <f>IFERROR(AVERAGE(Data!L652), "  ")</f>
        <v>760.33333333333337</v>
      </c>
    </row>
    <row r="648" spans="1:12" x14ac:dyDescent="0.2">
      <c r="A648" s="43">
        <f>Data!A653</f>
        <v>43162</v>
      </c>
      <c r="B648" s="42">
        <f>IFERROR(AVERAGE(Data!B653), "  ")</f>
        <v>188</v>
      </c>
      <c r="C648" s="42">
        <f>IFERROR(AVERAGE(Data!C653), "  ")</f>
        <v>5</v>
      </c>
      <c r="D648" s="42">
        <f>IFERROR(AVERAGE(Data!D653), "  ")</f>
        <v>59</v>
      </c>
      <c r="E648" s="42">
        <f>IFERROR(AVERAGE(Data!E653), "  ")</f>
        <v>252</v>
      </c>
      <c r="F648" s="42">
        <f>IFERROR(AVERAGE(Data!F653), "  ")</f>
        <v>751</v>
      </c>
      <c r="G648" s="42">
        <f>IFERROR(AVERAGE(Data!G653), "  ")</f>
        <v>499</v>
      </c>
      <c r="H648" s="44">
        <f>IFERROR(AVERAGE(Data!H653), "  ")</f>
        <v>-6.1249999999999999E-2</v>
      </c>
      <c r="I648" s="44">
        <f>IFERROR(AVERAGE(Data!I653), "  ")</f>
        <v>-4.5454545454545456E-2</v>
      </c>
      <c r="J648" s="42">
        <f>IFERROR(AVERAGE(Data!J653), "  ")</f>
        <v>-12</v>
      </c>
      <c r="K648" s="44">
        <f>IFERROR(AVERAGE(Data!K653), "  ")</f>
        <v>-8.748481166464156E-2</v>
      </c>
      <c r="L648" s="45">
        <f>IFERROR(AVERAGE(Data!L653), "  ")</f>
        <v>713</v>
      </c>
    </row>
    <row r="649" spans="1:12" x14ac:dyDescent="0.2">
      <c r="A649" s="43">
        <f>Data!A654</f>
        <v>43169</v>
      </c>
      <c r="B649" s="42">
        <f>IFERROR(AVERAGE(Data!B654), "  ")</f>
        <v>178</v>
      </c>
      <c r="C649" s="42">
        <f>IFERROR(AVERAGE(Data!C654), "  ")</f>
        <v>62</v>
      </c>
      <c r="D649" s="42">
        <f>IFERROR(AVERAGE(Data!D654), "  ")</f>
        <v>13</v>
      </c>
      <c r="E649" s="42">
        <f>IFERROR(AVERAGE(Data!E654), "  ")</f>
        <v>253</v>
      </c>
      <c r="F649" s="42">
        <f>IFERROR(AVERAGE(Data!F654), "  ")</f>
        <v>721</v>
      </c>
      <c r="G649" s="42">
        <f>IFERROR(AVERAGE(Data!G654), "  ")</f>
        <v>468</v>
      </c>
      <c r="H649" s="44">
        <f>IFERROR(AVERAGE(Data!H654), "  ")</f>
        <v>-3.9946737683089213E-2</v>
      </c>
      <c r="I649" s="44">
        <f>IFERROR(AVERAGE(Data!I654), "  ")</f>
        <v>3.968253968253968E-3</v>
      </c>
      <c r="J649" s="42">
        <f>IFERROR(AVERAGE(Data!J654), "  ")</f>
        <v>1</v>
      </c>
      <c r="K649" s="44">
        <f>IFERROR(AVERAGE(Data!K654), "  ")</f>
        <v>-9.4221105527638196E-2</v>
      </c>
      <c r="L649" s="45">
        <f>IFERROR(AVERAGE(Data!L654), "  ")</f>
        <v>621</v>
      </c>
    </row>
    <row r="650" spans="1:12" x14ac:dyDescent="0.2">
      <c r="A650" s="43">
        <f>Data!A655</f>
        <v>43176</v>
      </c>
      <c r="B650" s="42">
        <f>IFERROR(AVERAGE(Data!B655), "  ")</f>
        <v>392</v>
      </c>
      <c r="C650" s="42">
        <f>IFERROR(AVERAGE(Data!C655), "  ")</f>
        <v>26</v>
      </c>
      <c r="D650" s="42">
        <f>IFERROR(AVERAGE(Data!D655), "  ")</f>
        <v>119</v>
      </c>
      <c r="E650" s="42">
        <f>IFERROR(AVERAGE(Data!E655), "  ")</f>
        <v>537</v>
      </c>
      <c r="F650" s="42">
        <f>IFERROR(AVERAGE(Data!F655), "  ")</f>
        <v>569</v>
      </c>
      <c r="G650" s="42">
        <f>IFERROR(AVERAGE(Data!G655), "  ")</f>
        <v>32</v>
      </c>
      <c r="H650" s="44">
        <f>IFERROR(AVERAGE(Data!H655), "  ")</f>
        <v>-0.21081830790568654</v>
      </c>
      <c r="I650" s="44">
        <f>IFERROR(AVERAGE(Data!I655), "  ")</f>
        <v>1.1225296442687747</v>
      </c>
      <c r="J650" s="42">
        <f>IFERROR(AVERAGE(Data!J655), "  ")</f>
        <v>284</v>
      </c>
      <c r="K650" s="44">
        <f>IFERROR(AVERAGE(Data!K655), "  ")</f>
        <v>-0.13394216133942161</v>
      </c>
      <c r="L650" s="45">
        <f>IFERROR(AVERAGE(Data!L655), "  ")</f>
        <v>571</v>
      </c>
    </row>
    <row r="651" spans="1:12" x14ac:dyDescent="0.2">
      <c r="A651" s="43">
        <f>Data!A656</f>
        <v>43183</v>
      </c>
      <c r="B651" s="42">
        <f>IFERROR(AVERAGE(Data!B656), "  ")</f>
        <v>319</v>
      </c>
      <c r="C651" s="42">
        <f>IFERROR(AVERAGE(Data!C656), "  ")</f>
        <v>74</v>
      </c>
      <c r="D651" s="42">
        <f>IFERROR(AVERAGE(Data!D656), "  ")</f>
        <v>197</v>
      </c>
      <c r="E651" s="42">
        <f>IFERROR(AVERAGE(Data!E656), "  ")</f>
        <v>590</v>
      </c>
      <c r="F651" s="42">
        <f>IFERROR(AVERAGE(Data!F656), "  ")</f>
        <v>560</v>
      </c>
      <c r="G651" s="42">
        <f>IFERROR(AVERAGE(Data!G656), "  ")</f>
        <v>-30</v>
      </c>
      <c r="H651" s="44">
        <f>IFERROR(AVERAGE(Data!H656), "  ")</f>
        <v>-1.5817223198594025E-2</v>
      </c>
      <c r="I651" s="44">
        <f>IFERROR(AVERAGE(Data!I656), "  ")</f>
        <v>9.8696461824953452E-2</v>
      </c>
      <c r="J651" s="42">
        <f>IFERROR(AVERAGE(Data!J656), "  ")</f>
        <v>53</v>
      </c>
      <c r="K651" s="44">
        <f>IFERROR(AVERAGE(Data!K656), "  ")</f>
        <v>-0.29382093316519547</v>
      </c>
      <c r="L651" s="45">
        <f>IFERROR(AVERAGE(Data!L656), "  ")</f>
        <v>633.66666666666663</v>
      </c>
    </row>
    <row r="652" spans="1:12" x14ac:dyDescent="0.2">
      <c r="A652" s="43">
        <f>Data!A657</f>
        <v>43190</v>
      </c>
      <c r="B652" s="42">
        <f>IFERROR(AVERAGE(Data!B657), "  ")</f>
        <v>329</v>
      </c>
      <c r="C652" s="42">
        <f>IFERROR(AVERAGE(Data!C657), "  ")</f>
        <v>11</v>
      </c>
      <c r="D652" s="42">
        <f>IFERROR(AVERAGE(Data!D657), "  ")</f>
        <v>102</v>
      </c>
      <c r="E652" s="42">
        <f>IFERROR(AVERAGE(Data!E657), "  ")</f>
        <v>442</v>
      </c>
      <c r="F652" s="42">
        <f>IFERROR(AVERAGE(Data!F657), "  ")</f>
        <v>610</v>
      </c>
      <c r="G652" s="42">
        <f>IFERROR(AVERAGE(Data!G657), "  ")</f>
        <v>168</v>
      </c>
      <c r="H652" s="44">
        <f>IFERROR(AVERAGE(Data!H657), "  ")</f>
        <v>8.9285714285714288E-2</v>
      </c>
      <c r="I652" s="44">
        <f>IFERROR(AVERAGE(Data!I657), "  ")</f>
        <v>-0.25084745762711863</v>
      </c>
      <c r="J652" s="42">
        <f>IFERROR(AVERAGE(Data!J657), "  ")</f>
        <v>-148</v>
      </c>
      <c r="K652" s="44">
        <f>IFERROR(AVERAGE(Data!K657), "  ")</f>
        <v>-0.27380952380952384</v>
      </c>
      <c r="L652" s="45">
        <f>IFERROR(AVERAGE(Data!L657), "  ")</f>
        <v>605.33333333333337</v>
      </c>
    </row>
    <row r="653" spans="1:12" x14ac:dyDescent="0.2">
      <c r="A653" s="43">
        <f>Data!A658</f>
        <v>43197</v>
      </c>
      <c r="B653" s="42">
        <f>IFERROR(AVERAGE(Data!B658), "  ")</f>
        <v>223</v>
      </c>
      <c r="C653" s="42">
        <f>IFERROR(AVERAGE(Data!C658), "  ")</f>
        <v>57</v>
      </c>
      <c r="D653" s="42">
        <f>IFERROR(AVERAGE(Data!D658), "  ")</f>
        <v>115</v>
      </c>
      <c r="E653" s="42">
        <f>IFERROR(AVERAGE(Data!E658), "  ")</f>
        <v>395</v>
      </c>
      <c r="F653" s="42">
        <f>IFERROR(AVERAGE(Data!F658), "  ")</f>
        <v>792</v>
      </c>
      <c r="G653" s="42">
        <f>IFERROR(AVERAGE(Data!G658), "  ")</f>
        <v>397</v>
      </c>
      <c r="H653" s="44">
        <f>IFERROR(AVERAGE(Data!H658), "  ")</f>
        <v>0.29836065573770493</v>
      </c>
      <c r="I653" s="44">
        <f>IFERROR(AVERAGE(Data!I658), "  ")</f>
        <v>-0.10633484162895927</v>
      </c>
      <c r="J653" s="42">
        <f>IFERROR(AVERAGE(Data!J658), "  ")</f>
        <v>-47</v>
      </c>
      <c r="K653" s="44">
        <f>IFERROR(AVERAGE(Data!K658), "  ")</f>
        <v>0.21100917431192662</v>
      </c>
      <c r="L653" s="45">
        <f>IFERROR(AVERAGE(Data!L658), "  ")</f>
        <v>603.33333333333337</v>
      </c>
    </row>
    <row r="654" spans="1:12" x14ac:dyDescent="0.2">
      <c r="A654" s="43">
        <f>Data!A659</f>
        <v>43204</v>
      </c>
      <c r="B654" s="42">
        <f>IFERROR(AVERAGE(Data!B659), "  ")</f>
        <v>249</v>
      </c>
      <c r="C654" s="42">
        <f>IFERROR(AVERAGE(Data!C659), "  ")</f>
        <v>18</v>
      </c>
      <c r="D654" s="42">
        <f>IFERROR(AVERAGE(Data!D659), "  ")</f>
        <v>112</v>
      </c>
      <c r="E654" s="42">
        <f>IFERROR(AVERAGE(Data!E659), "  ")</f>
        <v>379</v>
      </c>
      <c r="F654" s="42">
        <f>IFERROR(AVERAGE(Data!F659), "  ")</f>
        <v>748</v>
      </c>
      <c r="G654" s="42">
        <f>IFERROR(AVERAGE(Data!G659), "  ")</f>
        <v>369</v>
      </c>
      <c r="H654" s="44">
        <f>IFERROR(AVERAGE(Data!H659), "  ")</f>
        <v>-5.5555555555555552E-2</v>
      </c>
      <c r="I654" s="44">
        <f>IFERROR(AVERAGE(Data!I659), "  ")</f>
        <v>-4.0506329113924051E-2</v>
      </c>
      <c r="J654" s="42">
        <f>IFERROR(AVERAGE(Data!J659), "  ")</f>
        <v>-16</v>
      </c>
      <c r="K654" s="44">
        <f>IFERROR(AVERAGE(Data!K659), "  ")</f>
        <v>0.15254237288135594</v>
      </c>
      <c r="L654" s="45">
        <f>IFERROR(AVERAGE(Data!L659), "  ")</f>
        <v>543.66666666666663</v>
      </c>
    </row>
    <row r="655" spans="1:12" x14ac:dyDescent="0.2">
      <c r="A655" s="43">
        <f>Data!A660</f>
        <v>43211</v>
      </c>
      <c r="B655" s="42">
        <f>IFERROR(AVERAGE(Data!B660), "  ")</f>
        <v>307</v>
      </c>
      <c r="C655" s="42">
        <f>IFERROR(AVERAGE(Data!C660), "  ")</f>
        <v>63</v>
      </c>
      <c r="D655" s="42">
        <f>IFERROR(AVERAGE(Data!D660), "  ")</f>
        <v>82</v>
      </c>
      <c r="E655" s="42">
        <f>IFERROR(AVERAGE(Data!E660), "  ")</f>
        <v>452</v>
      </c>
      <c r="F655" s="42">
        <f>IFERROR(AVERAGE(Data!F660), "  ")</f>
        <v>708</v>
      </c>
      <c r="G655" s="42">
        <f>IFERROR(AVERAGE(Data!G660), "  ")</f>
        <v>256</v>
      </c>
      <c r="H655" s="44">
        <f>IFERROR(AVERAGE(Data!H660), "  ")</f>
        <v>-5.3475935828877004E-2</v>
      </c>
      <c r="I655" s="44">
        <f>IFERROR(AVERAGE(Data!I660), "  ")</f>
        <v>0.19261213720316622</v>
      </c>
      <c r="J655" s="42">
        <f>IFERROR(AVERAGE(Data!J660), "  ")</f>
        <v>73</v>
      </c>
      <c r="K655" s="44">
        <f>IFERROR(AVERAGE(Data!K660), "  ")</f>
        <v>0.14748784440842788</v>
      </c>
      <c r="L655" s="45">
        <f>IFERROR(AVERAGE(Data!L660), "  ")</f>
        <v>653.33333333333337</v>
      </c>
    </row>
    <row r="656" spans="1:12" x14ac:dyDescent="0.2">
      <c r="A656" s="43">
        <f>Data!A661</f>
        <v>43218</v>
      </c>
      <c r="B656" s="42">
        <f>IFERROR(AVERAGE(Data!B661), "  ")</f>
        <v>359</v>
      </c>
      <c r="C656" s="42">
        <f>IFERROR(AVERAGE(Data!C661), "  ")</f>
        <v>21</v>
      </c>
      <c r="D656" s="42">
        <f>IFERROR(AVERAGE(Data!D661), "  ")</f>
        <v>93</v>
      </c>
      <c r="E656" s="42">
        <f>IFERROR(AVERAGE(Data!E661), "  ")</f>
        <v>473</v>
      </c>
      <c r="F656" s="42">
        <f>IFERROR(AVERAGE(Data!F661), "  ")</f>
        <v>656</v>
      </c>
      <c r="G656" s="42">
        <f>IFERROR(AVERAGE(Data!G661), "  ")</f>
        <v>183</v>
      </c>
      <c r="H656" s="44">
        <f>IFERROR(AVERAGE(Data!H661), "  ")</f>
        <v>-7.3446327683615822E-2</v>
      </c>
      <c r="I656" s="44">
        <f>IFERROR(AVERAGE(Data!I661), "  ")</f>
        <v>4.6460176991150445E-2</v>
      </c>
      <c r="J656" s="42">
        <f>IFERROR(AVERAGE(Data!J661), "  ")</f>
        <v>21</v>
      </c>
      <c r="K656" s="44">
        <f>IFERROR(AVERAGE(Data!K661), "  ")</f>
        <v>0.19708029197080293</v>
      </c>
      <c r="L656" s="45">
        <f>IFERROR(AVERAGE(Data!L661), "  ")</f>
        <v>576</v>
      </c>
    </row>
    <row r="657" spans="1:12" x14ac:dyDescent="0.2">
      <c r="A657" s="43">
        <f>Data!A662</f>
        <v>43225</v>
      </c>
      <c r="B657" s="42">
        <f>IFERROR(AVERAGE(Data!B662), "  ")</f>
        <v>448</v>
      </c>
      <c r="C657" s="42">
        <f>IFERROR(AVERAGE(Data!C662), "  ")</f>
        <v>66</v>
      </c>
      <c r="D657" s="42">
        <f>IFERROR(AVERAGE(Data!D662), "  ")</f>
        <v>81</v>
      </c>
      <c r="E657" s="42">
        <f>IFERROR(AVERAGE(Data!E662), "  ")</f>
        <v>595</v>
      </c>
      <c r="F657" s="42">
        <f>IFERROR(AVERAGE(Data!F662), "  ")</f>
        <v>690</v>
      </c>
      <c r="G657" s="42">
        <f>IFERROR(AVERAGE(Data!G662), "  ")</f>
        <v>95</v>
      </c>
      <c r="H657" s="44">
        <f>IFERROR(AVERAGE(Data!H662), "  ")</f>
        <v>5.1829268292682924E-2</v>
      </c>
      <c r="I657" s="44">
        <f>IFERROR(AVERAGE(Data!I662), "  ")</f>
        <v>0.25792811839323465</v>
      </c>
      <c r="J657" s="42">
        <f>IFERROR(AVERAGE(Data!J662), "  ")</f>
        <v>122</v>
      </c>
      <c r="K657" s="44">
        <f>IFERROR(AVERAGE(Data!K662), "  ")</f>
        <v>0.36363636363636365</v>
      </c>
      <c r="L657" s="45">
        <f>IFERROR(AVERAGE(Data!L662), "  ")</f>
        <v>607</v>
      </c>
    </row>
    <row r="658" spans="1:12" x14ac:dyDescent="0.2">
      <c r="A658" s="43">
        <f>Data!A663</f>
        <v>43232</v>
      </c>
      <c r="B658" s="42">
        <f>IFERROR(AVERAGE(Data!B663), "  ")</f>
        <v>428</v>
      </c>
      <c r="C658" s="42">
        <f>IFERROR(AVERAGE(Data!C663), "  ")</f>
        <v>22</v>
      </c>
      <c r="D658" s="42">
        <f>IFERROR(AVERAGE(Data!D663), "  ")</f>
        <v>76</v>
      </c>
      <c r="E658" s="42">
        <f>IFERROR(AVERAGE(Data!E663), "  ")</f>
        <v>526</v>
      </c>
      <c r="F658" s="42">
        <f>IFERROR(AVERAGE(Data!F663), "  ")</f>
        <v>759</v>
      </c>
      <c r="G658" s="42">
        <f>IFERROR(AVERAGE(Data!G663), "  ")</f>
        <v>233</v>
      </c>
      <c r="H658" s="44">
        <f>IFERROR(AVERAGE(Data!H663), "  ")</f>
        <v>0.1</v>
      </c>
      <c r="I658" s="44">
        <f>IFERROR(AVERAGE(Data!I663), "  ")</f>
        <v>-0.11596638655462185</v>
      </c>
      <c r="J658" s="42">
        <f>IFERROR(AVERAGE(Data!J663), "  ")</f>
        <v>-69</v>
      </c>
      <c r="K658" s="44">
        <f>IFERROR(AVERAGE(Data!K663), "  ")</f>
        <v>0.46242774566473988</v>
      </c>
      <c r="L658" s="45">
        <f>IFERROR(AVERAGE(Data!L663), "  ")</f>
        <v>603.33333333333337</v>
      </c>
    </row>
    <row r="659" spans="1:12" x14ac:dyDescent="0.2">
      <c r="A659" s="43">
        <f>Data!A664</f>
        <v>43239</v>
      </c>
      <c r="B659" s="42">
        <f>IFERROR(AVERAGE(Data!B664), "  ")</f>
        <v>383</v>
      </c>
      <c r="C659" s="42">
        <f>IFERROR(AVERAGE(Data!C664), "  ")</f>
        <v>62</v>
      </c>
      <c r="D659" s="42">
        <f>IFERROR(AVERAGE(Data!D664), "  ")</f>
        <v>122</v>
      </c>
      <c r="E659" s="42">
        <f>IFERROR(AVERAGE(Data!E664), "  ")</f>
        <v>567</v>
      </c>
      <c r="F659" s="42">
        <f>IFERROR(AVERAGE(Data!F664), "  ")</f>
        <v>697</v>
      </c>
      <c r="G659" s="42">
        <f>IFERROR(AVERAGE(Data!G664), "  ")</f>
        <v>130</v>
      </c>
      <c r="H659" s="44">
        <f>IFERROR(AVERAGE(Data!H664), "  ")</f>
        <v>-8.1686429512516465E-2</v>
      </c>
      <c r="I659" s="44">
        <f>IFERROR(AVERAGE(Data!I664), "  ")</f>
        <v>7.7946768060836502E-2</v>
      </c>
      <c r="J659" s="42">
        <f>IFERROR(AVERAGE(Data!J664), "  ")</f>
        <v>41</v>
      </c>
      <c r="K659" s="44">
        <f>IFERROR(AVERAGE(Data!K664), "  ")</f>
        <v>0.41955193482688391</v>
      </c>
      <c r="L659" s="45">
        <f>IFERROR(AVERAGE(Data!L664), "  ")</f>
        <v>532.33333333333337</v>
      </c>
    </row>
    <row r="660" spans="1:12" x14ac:dyDescent="0.2">
      <c r="A660" s="43">
        <f>Data!A665</f>
        <v>43246</v>
      </c>
      <c r="B660" s="42">
        <f>IFERROR(AVERAGE(Data!B665), "  ")</f>
        <v>358</v>
      </c>
      <c r="C660" s="42">
        <f>IFERROR(AVERAGE(Data!C665), "  ")</f>
        <v>31</v>
      </c>
      <c r="D660" s="42">
        <f>IFERROR(AVERAGE(Data!D665), "  ")</f>
        <v>71</v>
      </c>
      <c r="E660" s="42">
        <f>IFERROR(AVERAGE(Data!E665), "  ")</f>
        <v>460</v>
      </c>
      <c r="F660" s="42">
        <f>IFERROR(AVERAGE(Data!F665), "  ")</f>
        <v>707</v>
      </c>
      <c r="G660" s="42">
        <f>IFERROR(AVERAGE(Data!G665), "  ")</f>
        <v>247</v>
      </c>
      <c r="H660" s="44">
        <f>IFERROR(AVERAGE(Data!H665), "  ")</f>
        <v>1.4347202295552367E-2</v>
      </c>
      <c r="I660" s="44">
        <f>IFERROR(AVERAGE(Data!I665), "  ")</f>
        <v>-0.18871252204585537</v>
      </c>
      <c r="J660" s="42">
        <f>IFERROR(AVERAGE(Data!J665), "  ")</f>
        <v>-107</v>
      </c>
      <c r="K660" s="44">
        <f>IFERROR(AVERAGE(Data!K665), "  ")</f>
        <v>0.32645403377110693</v>
      </c>
      <c r="L660" s="45">
        <f>IFERROR(AVERAGE(Data!L665), "  ")</f>
        <v>473.33333333333331</v>
      </c>
    </row>
    <row r="661" spans="1:12" x14ac:dyDescent="0.2">
      <c r="A661" s="43">
        <f>Data!A666</f>
        <v>43253</v>
      </c>
      <c r="B661" s="42">
        <f>IFERROR(AVERAGE(Data!B666), "  ")</f>
        <v>486</v>
      </c>
      <c r="C661" s="42">
        <f>IFERROR(AVERAGE(Data!C666), "  ")</f>
        <v>30</v>
      </c>
      <c r="D661" s="42">
        <f>IFERROR(AVERAGE(Data!D666), "  ")</f>
        <v>99</v>
      </c>
      <c r="E661" s="42">
        <f>IFERROR(AVERAGE(Data!E666), "  ")</f>
        <v>615</v>
      </c>
      <c r="F661" s="42">
        <f>IFERROR(AVERAGE(Data!F666), "  ")</f>
        <v>678</v>
      </c>
      <c r="G661" s="42">
        <f>IFERROR(AVERAGE(Data!G666), "  ")</f>
        <v>63</v>
      </c>
      <c r="H661" s="44">
        <f>IFERROR(AVERAGE(Data!H666), "  ")</f>
        <v>-4.1018387553041019E-2</v>
      </c>
      <c r="I661" s="44">
        <f>IFERROR(AVERAGE(Data!I666), "  ")</f>
        <v>0.33695652173913043</v>
      </c>
      <c r="J661" s="42">
        <f>IFERROR(AVERAGE(Data!J666), "  ")</f>
        <v>155</v>
      </c>
      <c r="K661" s="44">
        <f>IFERROR(AVERAGE(Data!K666), "  ")</f>
        <v>0.45182012847965741</v>
      </c>
      <c r="L661" s="45">
        <f>IFERROR(AVERAGE(Data!L666), "  ")</f>
        <v>515.33333333333337</v>
      </c>
    </row>
    <row r="662" spans="1:12" x14ac:dyDescent="0.2">
      <c r="A662" s="43">
        <f>Data!A667</f>
        <v>43260</v>
      </c>
      <c r="B662" s="42">
        <f>IFERROR(AVERAGE(Data!B667), "  ")</f>
        <v>542</v>
      </c>
      <c r="C662" s="42">
        <f>IFERROR(AVERAGE(Data!C667), "  ")</f>
        <v>33</v>
      </c>
      <c r="D662" s="42">
        <f>IFERROR(AVERAGE(Data!D667), "  ")</f>
        <v>74</v>
      </c>
      <c r="E662" s="42">
        <f>IFERROR(AVERAGE(Data!E667), "  ")</f>
        <v>649</v>
      </c>
      <c r="F662" s="42">
        <f>IFERROR(AVERAGE(Data!F667), "  ")</f>
        <v>843</v>
      </c>
      <c r="G662" s="42">
        <f>IFERROR(AVERAGE(Data!G667), "  ")</f>
        <v>194</v>
      </c>
      <c r="H662" s="44">
        <f>IFERROR(AVERAGE(Data!H667), "  ")</f>
        <v>0.24336283185840707</v>
      </c>
      <c r="I662" s="44">
        <f>IFERROR(AVERAGE(Data!I667), "  ")</f>
        <v>5.5284552845528454E-2</v>
      </c>
      <c r="J662" s="42">
        <f>IFERROR(AVERAGE(Data!J667), "  ")</f>
        <v>34</v>
      </c>
      <c r="K662" s="44">
        <f>IFERROR(AVERAGE(Data!K667), "  ")</f>
        <v>0.5786516853932584</v>
      </c>
      <c r="L662" s="45">
        <f>IFERROR(AVERAGE(Data!L667), "  ")</f>
        <v>643</v>
      </c>
    </row>
    <row r="663" spans="1:12" x14ac:dyDescent="0.2">
      <c r="A663" s="43">
        <f>Data!A668</f>
        <v>43267</v>
      </c>
      <c r="B663" s="42">
        <f>IFERROR(AVERAGE(Data!B668), "  ")</f>
        <v>651</v>
      </c>
      <c r="C663" s="42">
        <f>IFERROR(AVERAGE(Data!C668), "  ")</f>
        <v>46</v>
      </c>
      <c r="D663" s="42">
        <f>IFERROR(AVERAGE(Data!D668), "  ")</f>
        <v>62</v>
      </c>
      <c r="E663" s="42">
        <f>IFERROR(AVERAGE(Data!E668), "  ")</f>
        <v>759</v>
      </c>
      <c r="F663" s="42">
        <f>IFERROR(AVERAGE(Data!F668), "  ")</f>
        <v>615</v>
      </c>
      <c r="G663" s="42">
        <f>IFERROR(AVERAGE(Data!G668), "  ")</f>
        <v>-144</v>
      </c>
      <c r="H663" s="44">
        <f>IFERROR(AVERAGE(Data!H668), "  ")</f>
        <v>-0.27046263345195731</v>
      </c>
      <c r="I663" s="44">
        <f>IFERROR(AVERAGE(Data!I668), "  ")</f>
        <v>0.16949152542372881</v>
      </c>
      <c r="J663" s="42">
        <f>IFERROR(AVERAGE(Data!J668), "  ")</f>
        <v>110</v>
      </c>
      <c r="K663" s="44">
        <f>IFERROR(AVERAGE(Data!K668), "  ")</f>
        <v>0.10611510791366907</v>
      </c>
      <c r="L663" s="45">
        <f>IFERROR(AVERAGE(Data!L668), "  ")</f>
        <v>624</v>
      </c>
    </row>
    <row r="664" spans="1:12" x14ac:dyDescent="0.2">
      <c r="A664" s="43">
        <f>Data!A669</f>
        <v>43274</v>
      </c>
      <c r="B664" s="42">
        <f>IFERROR(AVERAGE(Data!B669), "  ")</f>
        <v>604</v>
      </c>
      <c r="C664" s="42">
        <f>IFERROR(AVERAGE(Data!C669), "  ")</f>
        <v>29</v>
      </c>
      <c r="D664" s="42">
        <f>IFERROR(AVERAGE(Data!D669), "  ")</f>
        <v>97</v>
      </c>
      <c r="E664" s="42">
        <f>IFERROR(AVERAGE(Data!E669), "  ")</f>
        <v>730</v>
      </c>
      <c r="F664" s="42">
        <f>IFERROR(AVERAGE(Data!F669), "  ")</f>
        <v>806</v>
      </c>
      <c r="G664" s="42">
        <f>IFERROR(AVERAGE(Data!G669), "  ")</f>
        <v>76</v>
      </c>
      <c r="H664" s="44">
        <f>IFERROR(AVERAGE(Data!H669), "  ")</f>
        <v>0.31056910569105689</v>
      </c>
      <c r="I664" s="44">
        <f>IFERROR(AVERAGE(Data!I669), "  ")</f>
        <v>-3.8208168642951248E-2</v>
      </c>
      <c r="J664" s="42">
        <f>IFERROR(AVERAGE(Data!J669), "  ")</f>
        <v>-29</v>
      </c>
      <c r="K664" s="44">
        <f>IFERROR(AVERAGE(Data!K669), "  ")</f>
        <v>0.6791666666666667</v>
      </c>
      <c r="L664" s="45">
        <f>IFERROR(AVERAGE(Data!L669), "  ")</f>
        <v>530.66666666666663</v>
      </c>
    </row>
    <row r="665" spans="1:12" x14ac:dyDescent="0.2">
      <c r="A665" s="43">
        <f>Data!A670</f>
        <v>43281</v>
      </c>
      <c r="B665" s="42">
        <f>IFERROR(AVERAGE(Data!B670), "  ")</f>
        <v>473</v>
      </c>
      <c r="C665" s="42">
        <f>IFERROR(AVERAGE(Data!C670), "  ")</f>
        <v>40</v>
      </c>
      <c r="D665" s="42">
        <f>IFERROR(AVERAGE(Data!D670), "  ")</f>
        <v>75</v>
      </c>
      <c r="E665" s="42">
        <f>IFERROR(AVERAGE(Data!E670), "  ")</f>
        <v>588</v>
      </c>
      <c r="F665" s="42">
        <f>IFERROR(AVERAGE(Data!F670), "  ")</f>
        <v>790</v>
      </c>
      <c r="G665" s="42">
        <f>IFERROR(AVERAGE(Data!G670), "  ")</f>
        <v>202</v>
      </c>
      <c r="H665" s="44">
        <f>IFERROR(AVERAGE(Data!H670), "  ")</f>
        <v>-1.9851116625310174E-2</v>
      </c>
      <c r="I665" s="44">
        <f>IFERROR(AVERAGE(Data!I670), "  ")</f>
        <v>-0.19452054794520549</v>
      </c>
      <c r="J665" s="42">
        <f>IFERROR(AVERAGE(Data!J670), "  ")</f>
        <v>-142</v>
      </c>
      <c r="K665" s="44">
        <f>IFERROR(AVERAGE(Data!K670), "  ")</f>
        <v>0.16005873715124816</v>
      </c>
      <c r="L665" s="45">
        <f>IFERROR(AVERAGE(Data!L670), "  ")</f>
        <v>564.66666666666663</v>
      </c>
    </row>
    <row r="666" spans="1:12" x14ac:dyDescent="0.2">
      <c r="A666" s="43">
        <f>Data!A671</f>
        <v>43288</v>
      </c>
      <c r="B666" s="42">
        <f>IFERROR(AVERAGE(Data!B671), "  ")</f>
        <v>597</v>
      </c>
      <c r="C666" s="42">
        <f>IFERROR(AVERAGE(Data!C671), "  ")</f>
        <v>30</v>
      </c>
      <c r="D666" s="42">
        <f>IFERROR(AVERAGE(Data!D671), "  ")</f>
        <v>113</v>
      </c>
      <c r="E666" s="42">
        <f>IFERROR(AVERAGE(Data!E671), "  ")</f>
        <v>740</v>
      </c>
      <c r="F666" s="42">
        <f>IFERROR(AVERAGE(Data!F671), "  ")</f>
        <v>710</v>
      </c>
      <c r="G666" s="42">
        <f>IFERROR(AVERAGE(Data!G671), "  ")</f>
        <v>-30</v>
      </c>
      <c r="H666" s="44">
        <f>IFERROR(AVERAGE(Data!H671), "  ")</f>
        <v>-0.10126582278481013</v>
      </c>
      <c r="I666" s="44">
        <f>IFERROR(AVERAGE(Data!I671), "  ")</f>
        <v>0.25850340136054423</v>
      </c>
      <c r="J666" s="42">
        <f>IFERROR(AVERAGE(Data!J671), "  ")</f>
        <v>152</v>
      </c>
      <c r="K666" s="44">
        <f>IFERROR(AVERAGE(Data!K671), "  ")</f>
        <v>0.16393442622950818</v>
      </c>
      <c r="L666" s="45">
        <f>IFERROR(AVERAGE(Data!L671), "  ")</f>
        <v>678.66666666666663</v>
      </c>
    </row>
    <row r="667" spans="1:12" x14ac:dyDescent="0.2">
      <c r="A667" s="43">
        <f>Data!A672</f>
        <v>43295</v>
      </c>
      <c r="B667" s="42">
        <f>IFERROR(AVERAGE(Data!B672), "  ")</f>
        <v>395</v>
      </c>
      <c r="C667" s="42">
        <f>IFERROR(AVERAGE(Data!C672), "  ")</f>
        <v>25</v>
      </c>
      <c r="D667" s="42">
        <f>IFERROR(AVERAGE(Data!D672), "  ")</f>
        <v>53</v>
      </c>
      <c r="E667" s="42">
        <f>IFERROR(AVERAGE(Data!E672), "  ")</f>
        <v>473</v>
      </c>
      <c r="F667" s="42">
        <f>IFERROR(AVERAGE(Data!F672), "  ")</f>
        <v>776</v>
      </c>
      <c r="G667" s="42">
        <f>IFERROR(AVERAGE(Data!G672), "  ")</f>
        <v>303</v>
      </c>
      <c r="H667" s="44">
        <f>IFERROR(AVERAGE(Data!H672), "  ")</f>
        <v>9.295774647887324E-2</v>
      </c>
      <c r="I667" s="44">
        <f>IFERROR(AVERAGE(Data!I672), "  ")</f>
        <v>-0.36081081081081079</v>
      </c>
      <c r="J667" s="42">
        <f>IFERROR(AVERAGE(Data!J672), "  ")</f>
        <v>-267</v>
      </c>
      <c r="K667" s="44">
        <f>IFERROR(AVERAGE(Data!K672), "  ")</f>
        <v>0.1513353115727003</v>
      </c>
      <c r="L667" s="45">
        <f>IFERROR(AVERAGE(Data!L672), "  ")</f>
        <v>615.33333333333337</v>
      </c>
    </row>
    <row r="668" spans="1:12" x14ac:dyDescent="0.2">
      <c r="A668" s="43">
        <f>Data!A673</f>
        <v>43302</v>
      </c>
      <c r="B668" s="42">
        <f>IFERROR(AVERAGE(Data!B673), "  ")</f>
        <v>325</v>
      </c>
      <c r="C668" s="42">
        <f>IFERROR(AVERAGE(Data!C673), "  ")</f>
        <v>25</v>
      </c>
      <c r="D668" s="42">
        <f>IFERROR(AVERAGE(Data!D673), "  ")</f>
        <v>71</v>
      </c>
      <c r="E668" s="42">
        <f>IFERROR(AVERAGE(Data!E673), "  ")</f>
        <v>421</v>
      </c>
      <c r="F668" s="42">
        <f>IFERROR(AVERAGE(Data!F673), "  ")</f>
        <v>803</v>
      </c>
      <c r="G668" s="42">
        <f>IFERROR(AVERAGE(Data!G673), "  ")</f>
        <v>382</v>
      </c>
      <c r="H668" s="44">
        <f>IFERROR(AVERAGE(Data!H673), "  ")</f>
        <v>3.4793814432989692E-2</v>
      </c>
      <c r="I668" s="44">
        <f>IFERROR(AVERAGE(Data!I673), "  ")</f>
        <v>-0.10993657505285412</v>
      </c>
      <c r="J668" s="42">
        <f>IFERROR(AVERAGE(Data!J673), "  ")</f>
        <v>-52</v>
      </c>
      <c r="K668" s="44">
        <f>IFERROR(AVERAGE(Data!K673), "  ")</f>
        <v>0.17055393586005832</v>
      </c>
      <c r="L668" s="45">
        <f>IFERROR(AVERAGE(Data!L673), "  ")</f>
        <v>695.66666666666663</v>
      </c>
    </row>
    <row r="669" spans="1:12" x14ac:dyDescent="0.2">
      <c r="A669" s="43">
        <f>Data!A674</f>
        <v>43309</v>
      </c>
      <c r="B669" s="42">
        <f>IFERROR(AVERAGE(Data!B674), "  ")</f>
        <v>488</v>
      </c>
      <c r="C669" s="42">
        <f>IFERROR(AVERAGE(Data!C674), "  ")</f>
        <v>27</v>
      </c>
      <c r="D669" s="42">
        <f>IFERROR(AVERAGE(Data!D674), "  ")</f>
        <v>74</v>
      </c>
      <c r="E669" s="42">
        <f>IFERROR(AVERAGE(Data!E674), "  ")</f>
        <v>589</v>
      </c>
      <c r="F669" s="42">
        <f>IFERROR(AVERAGE(Data!F674), "  ")</f>
        <v>923</v>
      </c>
      <c r="G669" s="42">
        <f>IFERROR(AVERAGE(Data!G674), "  ")</f>
        <v>334</v>
      </c>
      <c r="H669" s="44">
        <f>IFERROR(AVERAGE(Data!H674), "  ")</f>
        <v>0.149439601494396</v>
      </c>
      <c r="I669" s="44">
        <f>IFERROR(AVERAGE(Data!I674), "  ")</f>
        <v>0.39904988123515439</v>
      </c>
      <c r="J669" s="42">
        <f>IFERROR(AVERAGE(Data!J674), "  ")</f>
        <v>168</v>
      </c>
      <c r="K669" s="44">
        <f>IFERROR(AVERAGE(Data!K674), "  ")</f>
        <v>0.44218750000000001</v>
      </c>
      <c r="L669" s="45">
        <f>IFERROR(AVERAGE(Data!L674), "  ")</f>
        <v>606.66666666666663</v>
      </c>
    </row>
    <row r="670" spans="1:12" x14ac:dyDescent="0.2">
      <c r="A670" s="43">
        <f>Data!A675</f>
        <v>43316</v>
      </c>
      <c r="B670" s="42">
        <f>IFERROR(AVERAGE(Data!B675), "  ")</f>
        <v>417</v>
      </c>
      <c r="C670" s="42">
        <f>IFERROR(AVERAGE(Data!C675), "  ")</f>
        <v>17</v>
      </c>
      <c r="D670" s="42">
        <f>IFERROR(AVERAGE(Data!D675), "  ")</f>
        <v>72</v>
      </c>
      <c r="E670" s="42">
        <f>IFERROR(AVERAGE(Data!E675), "  ")</f>
        <v>506</v>
      </c>
      <c r="F670" s="42">
        <f>IFERROR(AVERAGE(Data!F675), "  ")</f>
        <v>731</v>
      </c>
      <c r="G670" s="42">
        <f>IFERROR(AVERAGE(Data!G675), "  ")</f>
        <v>225</v>
      </c>
      <c r="H670" s="44">
        <f>IFERROR(AVERAGE(Data!H675), "  ")</f>
        <v>-0.20801733477789816</v>
      </c>
      <c r="I670" s="44">
        <f>IFERROR(AVERAGE(Data!I675), "  ")</f>
        <v>-0.14091680814940577</v>
      </c>
      <c r="J670" s="42">
        <f>IFERROR(AVERAGE(Data!J675), "  ")</f>
        <v>-83</v>
      </c>
      <c r="K670" s="44">
        <f>IFERROR(AVERAGE(Data!K675), "  ")</f>
        <v>0.15481832543443919</v>
      </c>
      <c r="L670" s="45">
        <f>IFERROR(AVERAGE(Data!L675), "  ")</f>
        <v>646.66666666666663</v>
      </c>
    </row>
    <row r="671" spans="1:12" x14ac:dyDescent="0.2">
      <c r="A671" s="43">
        <f>Data!A676</f>
        <v>43323</v>
      </c>
      <c r="B671" s="42">
        <f>IFERROR(AVERAGE(Data!B676), "  ")</f>
        <v>516</v>
      </c>
      <c r="C671" s="42">
        <f>IFERROR(AVERAGE(Data!C676), "  ")</f>
        <v>32</v>
      </c>
      <c r="D671" s="42">
        <f>IFERROR(AVERAGE(Data!D676), "  ")</f>
        <v>57</v>
      </c>
      <c r="E671" s="42">
        <f>IFERROR(AVERAGE(Data!E676), "  ")</f>
        <v>605</v>
      </c>
      <c r="F671" s="42">
        <f>IFERROR(AVERAGE(Data!F676), "  ")</f>
        <v>667</v>
      </c>
      <c r="G671" s="42">
        <f>IFERROR(AVERAGE(Data!G676), "  ")</f>
        <v>62</v>
      </c>
      <c r="H671" s="44">
        <f>IFERROR(AVERAGE(Data!H676), "  ")</f>
        <v>-8.7551299589603282E-2</v>
      </c>
      <c r="I671" s="44">
        <f>IFERROR(AVERAGE(Data!I676), "  ")</f>
        <v>0.19565217391304349</v>
      </c>
      <c r="J671" s="42">
        <f>IFERROR(AVERAGE(Data!J676), "  ")</f>
        <v>99</v>
      </c>
      <c r="K671" s="44">
        <f>IFERROR(AVERAGE(Data!K676), "  ")</f>
        <v>0.11166666666666666</v>
      </c>
      <c r="L671" s="45">
        <f>IFERROR(AVERAGE(Data!L676), "  ")</f>
        <v>665</v>
      </c>
    </row>
    <row r="672" spans="1:12" x14ac:dyDescent="0.2">
      <c r="A672" s="43">
        <f>Data!A677</f>
        <v>43330</v>
      </c>
      <c r="B672" s="42">
        <f>IFERROR(AVERAGE(Data!B677), "  ")</f>
        <v>338</v>
      </c>
      <c r="C672" s="42">
        <f>IFERROR(AVERAGE(Data!C677), "  ")</f>
        <v>23</v>
      </c>
      <c r="D672" s="42">
        <f>IFERROR(AVERAGE(Data!D677), "  ")</f>
        <v>80</v>
      </c>
      <c r="E672" s="42">
        <f>IFERROR(AVERAGE(Data!E677), "  ")</f>
        <v>441</v>
      </c>
      <c r="F672" s="42">
        <f>IFERROR(AVERAGE(Data!F677), "  ")</f>
        <v>731</v>
      </c>
      <c r="G672" s="42">
        <f>IFERROR(AVERAGE(Data!G677), "  ")</f>
        <v>290</v>
      </c>
      <c r="H672" s="44">
        <f>IFERROR(AVERAGE(Data!H677), "  ")</f>
        <v>9.5952023988005994E-2</v>
      </c>
      <c r="I672" s="44">
        <f>IFERROR(AVERAGE(Data!I677), "  ")</f>
        <v>-0.27107438016528923</v>
      </c>
      <c r="J672" s="42">
        <f>IFERROR(AVERAGE(Data!J677), "  ")</f>
        <v>-164</v>
      </c>
      <c r="K672" s="44">
        <f>IFERROR(AVERAGE(Data!K677), "  ")</f>
        <v>7.9763663220088626E-2</v>
      </c>
      <c r="L672" s="45">
        <f>IFERROR(AVERAGE(Data!L677), "  ")</f>
        <v>708</v>
      </c>
    </row>
    <row r="673" spans="1:12" x14ac:dyDescent="0.2">
      <c r="A673" s="43">
        <f>Data!A678</f>
        <v>43337</v>
      </c>
      <c r="B673" s="42">
        <f>IFERROR(AVERAGE(Data!B678), "  ")</f>
        <v>499</v>
      </c>
      <c r="C673" s="42">
        <f>IFERROR(AVERAGE(Data!C678), "  ")</f>
        <v>14</v>
      </c>
      <c r="D673" s="42">
        <f>IFERROR(AVERAGE(Data!D678), "  ")</f>
        <v>57</v>
      </c>
      <c r="E673" s="42">
        <f>IFERROR(AVERAGE(Data!E678), "  ")</f>
        <v>570</v>
      </c>
      <c r="F673" s="42">
        <f>IFERROR(AVERAGE(Data!F678), "  ")</f>
        <v>750</v>
      </c>
      <c r="G673" s="42">
        <f>IFERROR(AVERAGE(Data!G678), "  ")</f>
        <v>180</v>
      </c>
      <c r="H673" s="44">
        <f>IFERROR(AVERAGE(Data!H678), "  ")</f>
        <v>2.5991792065663474E-2</v>
      </c>
      <c r="I673" s="44">
        <f>IFERROR(AVERAGE(Data!I678), "  ")</f>
        <v>0.29251700680272108</v>
      </c>
      <c r="J673" s="42">
        <f>IFERROR(AVERAGE(Data!J678), "  ")</f>
        <v>129</v>
      </c>
      <c r="K673" s="44">
        <f>IFERROR(AVERAGE(Data!K678), "  ")</f>
        <v>0.13293051359516617</v>
      </c>
      <c r="L673" s="45">
        <f>IFERROR(AVERAGE(Data!L678), "  ")</f>
        <v>691</v>
      </c>
    </row>
    <row r="674" spans="1:12" x14ac:dyDescent="0.2">
      <c r="A674" s="43">
        <f>Data!A679</f>
        <v>43344</v>
      </c>
      <c r="B674" s="42">
        <f>IFERROR(AVERAGE(Data!B679), "  ")</f>
        <v>616</v>
      </c>
      <c r="C674" s="42">
        <f>IFERROR(AVERAGE(Data!C679), "  ")</f>
        <v>23</v>
      </c>
      <c r="D674" s="42">
        <f>IFERROR(AVERAGE(Data!D679), "  ")</f>
        <v>33</v>
      </c>
      <c r="E674" s="42">
        <f>IFERROR(AVERAGE(Data!E679), "  ")</f>
        <v>672</v>
      </c>
      <c r="F674" s="42">
        <f>IFERROR(AVERAGE(Data!F679), "  ")</f>
        <v>723</v>
      </c>
      <c r="G674" s="42">
        <f>IFERROR(AVERAGE(Data!G679), "  ")</f>
        <v>51</v>
      </c>
      <c r="H674" s="44">
        <f>IFERROR(AVERAGE(Data!H679), "  ")</f>
        <v>-3.5999999999999997E-2</v>
      </c>
      <c r="I674" s="44">
        <f>IFERROR(AVERAGE(Data!I679), "  ")</f>
        <v>0.17894736842105263</v>
      </c>
      <c r="J674" s="42">
        <f>IFERROR(AVERAGE(Data!J679), "  ")</f>
        <v>102</v>
      </c>
      <c r="K674" s="44">
        <f>IFERROR(AVERAGE(Data!K679), "  ")</f>
        <v>0.13322884012539185</v>
      </c>
      <c r="L674" s="45">
        <f>IFERROR(AVERAGE(Data!L679), "  ")</f>
        <v>766</v>
      </c>
    </row>
    <row r="675" spans="1:12" x14ac:dyDescent="0.2">
      <c r="A675" s="43">
        <f>Data!A680</f>
        <v>43351</v>
      </c>
      <c r="B675" s="42">
        <f>IFERROR(AVERAGE(Data!B680), "  ")</f>
        <v>720</v>
      </c>
      <c r="C675" s="42">
        <f>IFERROR(AVERAGE(Data!C680), "  ")</f>
        <v>22</v>
      </c>
      <c r="D675" s="42">
        <f>IFERROR(AVERAGE(Data!D680), "  ")</f>
        <v>102</v>
      </c>
      <c r="E675" s="42">
        <f>IFERROR(AVERAGE(Data!E680), "  ")</f>
        <v>844</v>
      </c>
      <c r="F675" s="42">
        <f>IFERROR(AVERAGE(Data!F680), "  ")</f>
        <v>722</v>
      </c>
      <c r="G675" s="42">
        <f>IFERROR(AVERAGE(Data!G680), "  ")</f>
        <v>-122</v>
      </c>
      <c r="H675" s="44">
        <f>IFERROR(AVERAGE(Data!H680), "  ")</f>
        <v>-1.3831258644536654E-3</v>
      </c>
      <c r="I675" s="44">
        <f>IFERROR(AVERAGE(Data!I680), "  ")</f>
        <v>0.25595238095238093</v>
      </c>
      <c r="J675" s="42">
        <f>IFERROR(AVERAGE(Data!J680), "  ")</f>
        <v>172</v>
      </c>
      <c r="K675" s="44">
        <f>IFERROR(AVERAGE(Data!K680), "  ")</f>
        <v>-0.15158636897767333</v>
      </c>
      <c r="L675" s="45">
        <f>IFERROR(AVERAGE(Data!L680), "  ")</f>
        <v>784</v>
      </c>
    </row>
    <row r="676" spans="1:12" x14ac:dyDescent="0.2">
      <c r="A676" s="43">
        <f>Data!A681</f>
        <v>43358</v>
      </c>
      <c r="B676" s="42">
        <f>IFERROR(AVERAGE(Data!B681), "  ")</f>
        <v>307</v>
      </c>
      <c r="C676" s="42">
        <f>IFERROR(AVERAGE(Data!C681), "  ")</f>
        <v>15</v>
      </c>
      <c r="D676" s="42">
        <f>IFERROR(AVERAGE(Data!D681), "  ")</f>
        <v>35</v>
      </c>
      <c r="E676" s="42">
        <f>IFERROR(AVERAGE(Data!E681), "  ")</f>
        <v>357</v>
      </c>
      <c r="F676" s="42">
        <f>IFERROR(AVERAGE(Data!F681), "  ")</f>
        <v>778</v>
      </c>
      <c r="G676" s="42">
        <f>IFERROR(AVERAGE(Data!G681), "  ")</f>
        <v>421</v>
      </c>
      <c r="H676" s="44">
        <f>IFERROR(AVERAGE(Data!H681), "  ")</f>
        <v>7.7562326869806089E-2</v>
      </c>
      <c r="I676" s="44">
        <f>IFERROR(AVERAGE(Data!I681), "  ")</f>
        <v>-0.57701421800947872</v>
      </c>
      <c r="J676" s="42">
        <f>IFERROR(AVERAGE(Data!J681), "  ")</f>
        <v>-487</v>
      </c>
      <c r="K676" s="44">
        <f>IFERROR(AVERAGE(Data!K681), "  ")</f>
        <v>6.1391541609822645E-2</v>
      </c>
      <c r="L676" s="45">
        <f>IFERROR(AVERAGE(Data!L681), "  ")</f>
        <v>737.33333333333337</v>
      </c>
    </row>
    <row r="677" spans="1:12" x14ac:dyDescent="0.2">
      <c r="A677" s="43">
        <f>Data!A682</f>
        <v>43365</v>
      </c>
      <c r="B677" s="42">
        <f>IFERROR(AVERAGE(Data!B682), "  ")</f>
        <v>354</v>
      </c>
      <c r="C677" s="42">
        <f>IFERROR(AVERAGE(Data!C682), "  ")</f>
        <v>14</v>
      </c>
      <c r="D677" s="42">
        <f>IFERROR(AVERAGE(Data!D682), "  ")</f>
        <v>65</v>
      </c>
      <c r="E677" s="42">
        <f>IFERROR(AVERAGE(Data!E682), "  ")</f>
        <v>433</v>
      </c>
      <c r="F677" s="42">
        <f>IFERROR(AVERAGE(Data!F682), "  ")</f>
        <v>746</v>
      </c>
      <c r="G677" s="42">
        <f>IFERROR(AVERAGE(Data!G682), "  ")</f>
        <v>313</v>
      </c>
      <c r="H677" s="44">
        <f>IFERROR(AVERAGE(Data!H682), "  ")</f>
        <v>-4.1131105398457581E-2</v>
      </c>
      <c r="I677" s="44">
        <f>IFERROR(AVERAGE(Data!I682), "  ")</f>
        <v>0.21288515406162464</v>
      </c>
      <c r="J677" s="42">
        <f>IFERROR(AVERAGE(Data!J682), "  ")</f>
        <v>76</v>
      </c>
      <c r="K677" s="44">
        <f>IFERROR(AVERAGE(Data!K682), "  ")</f>
        <v>-1.0610079575596816E-2</v>
      </c>
      <c r="L677" s="45">
        <f>IFERROR(AVERAGE(Data!L682), "  ")</f>
        <v>748</v>
      </c>
    </row>
    <row r="678" spans="1:12" x14ac:dyDescent="0.2">
      <c r="A678" s="43">
        <f>Data!A683</f>
        <v>43372</v>
      </c>
      <c r="B678" s="42">
        <f>IFERROR(AVERAGE(Data!B683), "  ")</f>
        <v>159</v>
      </c>
      <c r="C678" s="42">
        <f>IFERROR(AVERAGE(Data!C683), "  ")</f>
        <v>11</v>
      </c>
      <c r="D678" s="42">
        <f>IFERROR(AVERAGE(Data!D683), "  ")</f>
        <v>91</v>
      </c>
      <c r="E678" s="42">
        <f>IFERROR(AVERAGE(Data!E683), "  ")</f>
        <v>261</v>
      </c>
      <c r="F678" s="42">
        <f>IFERROR(AVERAGE(Data!F683), "  ")</f>
        <v>758</v>
      </c>
      <c r="G678" s="42">
        <f>IFERROR(AVERAGE(Data!G683), "  ")</f>
        <v>497</v>
      </c>
      <c r="H678" s="44">
        <f>IFERROR(AVERAGE(Data!H683), "  ")</f>
        <v>1.6085790884718499E-2</v>
      </c>
      <c r="I678" s="44">
        <f>IFERROR(AVERAGE(Data!I683), "  ")</f>
        <v>-0.39722863741339492</v>
      </c>
      <c r="J678" s="42">
        <f>IFERROR(AVERAGE(Data!J683), "  ")</f>
        <v>-172</v>
      </c>
      <c r="K678" s="44">
        <f>IFERROR(AVERAGE(Data!K683), "  ")</f>
        <v>4.9861495844875349E-2</v>
      </c>
      <c r="L678" s="45">
        <f>IFERROR(AVERAGE(Data!L683), "  ")</f>
        <v>749.33333333333337</v>
      </c>
    </row>
    <row r="679" spans="1:12" x14ac:dyDescent="0.2">
      <c r="A679" s="43">
        <f>Data!A684</f>
        <v>43379</v>
      </c>
      <c r="B679" s="42">
        <f>IFERROR(AVERAGE(Data!B684), "  ")</f>
        <v>230</v>
      </c>
      <c r="C679" s="42">
        <f>IFERROR(AVERAGE(Data!C684), "  ")</f>
        <v>28</v>
      </c>
      <c r="D679" s="42">
        <f>IFERROR(AVERAGE(Data!D684), "  ")</f>
        <v>82</v>
      </c>
      <c r="E679" s="42">
        <f>IFERROR(AVERAGE(Data!E684), "  ")</f>
        <v>340</v>
      </c>
      <c r="F679" s="42">
        <f>IFERROR(AVERAGE(Data!F684), "  ")</f>
        <v>800</v>
      </c>
      <c r="G679" s="42">
        <f>IFERROR(AVERAGE(Data!G684), "  ")</f>
        <v>460</v>
      </c>
      <c r="H679" s="44">
        <f>IFERROR(AVERAGE(Data!H684), "  ")</f>
        <v>5.5408970976253295E-2</v>
      </c>
      <c r="I679" s="44">
        <f>IFERROR(AVERAGE(Data!I684), "  ")</f>
        <v>0.30268199233716475</v>
      </c>
      <c r="J679" s="42">
        <f>IFERROR(AVERAGE(Data!J684), "  ")</f>
        <v>79</v>
      </c>
      <c r="K679" s="44">
        <f>IFERROR(AVERAGE(Data!K684), "  ")</f>
        <v>0.19225037257824143</v>
      </c>
      <c r="L679" s="45">
        <f>IFERROR(AVERAGE(Data!L684), "  ")</f>
        <v>773.33333333333337</v>
      </c>
    </row>
    <row r="680" spans="1:12" x14ac:dyDescent="0.2">
      <c r="A680" s="43">
        <f>Data!A685</f>
        <v>43386</v>
      </c>
      <c r="B680" s="42">
        <f>IFERROR(AVERAGE(Data!B685), "  ")</f>
        <v>247</v>
      </c>
      <c r="C680" s="42">
        <f>IFERROR(AVERAGE(Data!C685), "  ")</f>
        <v>35</v>
      </c>
      <c r="D680" s="42">
        <f>IFERROR(AVERAGE(Data!D685), "  ")</f>
        <v>49</v>
      </c>
      <c r="E680" s="42">
        <f>IFERROR(AVERAGE(Data!E685), "  ")</f>
        <v>331</v>
      </c>
      <c r="F680" s="42">
        <f>IFERROR(AVERAGE(Data!F685), "  ")</f>
        <v>896</v>
      </c>
      <c r="G680" s="42">
        <f>IFERROR(AVERAGE(Data!G685), "  ")</f>
        <v>565</v>
      </c>
      <c r="H680" s="44">
        <f>IFERROR(AVERAGE(Data!H685), "  ")</f>
        <v>0.12</v>
      </c>
      <c r="I680" s="44">
        <f>IFERROR(AVERAGE(Data!I685), "  ")</f>
        <v>-2.6470588235294117E-2</v>
      </c>
      <c r="J680" s="42">
        <f>IFERROR(AVERAGE(Data!J685), "  ")</f>
        <v>-9</v>
      </c>
      <c r="K680" s="44">
        <f>IFERROR(AVERAGE(Data!K685), "  ")</f>
        <v>0.25666199158485276</v>
      </c>
      <c r="L680" s="45">
        <f>IFERROR(AVERAGE(Data!L685), "  ")</f>
        <v>846</v>
      </c>
    </row>
    <row r="681" spans="1:12" x14ac:dyDescent="0.2">
      <c r="A681" s="43">
        <f>Data!A686</f>
        <v>43393</v>
      </c>
      <c r="B681" s="42">
        <f>IFERROR(AVERAGE(Data!B686), "  ")</f>
        <v>61</v>
      </c>
      <c r="C681" s="42">
        <f>IFERROR(AVERAGE(Data!C686), "  ")</f>
        <v>20</v>
      </c>
      <c r="D681" s="42">
        <f>IFERROR(AVERAGE(Data!D686), "  ")</f>
        <v>75</v>
      </c>
      <c r="E681" s="42">
        <f>IFERROR(AVERAGE(Data!E686), "  ")</f>
        <v>156</v>
      </c>
      <c r="F681" s="42">
        <f>IFERROR(AVERAGE(Data!F686), "  ")</f>
        <v>832</v>
      </c>
      <c r="G681" s="42">
        <f>IFERROR(AVERAGE(Data!G686), "  ")</f>
        <v>676</v>
      </c>
      <c r="H681" s="44">
        <f>IFERROR(AVERAGE(Data!H686), "  ")</f>
        <v>-7.1428571428571425E-2</v>
      </c>
      <c r="I681" s="44">
        <f>IFERROR(AVERAGE(Data!I686), "  ")</f>
        <v>-0.52870090634441091</v>
      </c>
      <c r="J681" s="42">
        <f>IFERROR(AVERAGE(Data!J686), "  ")</f>
        <v>-175</v>
      </c>
      <c r="K681" s="44">
        <f>IFERROR(AVERAGE(Data!K686), "  ")</f>
        <v>-0.18590998043052837</v>
      </c>
      <c r="L681" s="45">
        <f>IFERROR(AVERAGE(Data!L686), "  ")</f>
        <v>964.33333333333337</v>
      </c>
    </row>
    <row r="682" spans="1:12" x14ac:dyDescent="0.2">
      <c r="A682" s="43">
        <f>Data!A687</f>
        <v>43400</v>
      </c>
      <c r="B682" s="42">
        <f>IFERROR(AVERAGE(Data!B687), "  ")</f>
        <v>106</v>
      </c>
      <c r="C682" s="42">
        <f>IFERROR(AVERAGE(Data!C687), "  ")</f>
        <v>15</v>
      </c>
      <c r="D682" s="42">
        <f>IFERROR(AVERAGE(Data!D687), "  ")</f>
        <v>121</v>
      </c>
      <c r="E682" s="42">
        <f>IFERROR(AVERAGE(Data!E687), "  ")</f>
        <v>242</v>
      </c>
      <c r="F682" s="42">
        <f>IFERROR(AVERAGE(Data!F687), "  ")</f>
        <v>683</v>
      </c>
      <c r="G682" s="42">
        <f>IFERROR(AVERAGE(Data!G687), "  ")</f>
        <v>441</v>
      </c>
      <c r="H682" s="44">
        <f>IFERROR(AVERAGE(Data!H687), "  ")</f>
        <v>-0.17908653846153846</v>
      </c>
      <c r="I682" s="44">
        <f>IFERROR(AVERAGE(Data!I687), "  ")</f>
        <v>0.55128205128205132</v>
      </c>
      <c r="J682" s="42">
        <f>IFERROR(AVERAGE(Data!J687), "  ")</f>
        <v>86</v>
      </c>
      <c r="K682" s="44">
        <f>IFERROR(AVERAGE(Data!K687), "  ")</f>
        <v>-0.21942857142857142</v>
      </c>
      <c r="L682" s="45">
        <f>IFERROR(AVERAGE(Data!L687), "  ")</f>
        <v>855.66666666666663</v>
      </c>
    </row>
    <row r="683" spans="1:12" x14ac:dyDescent="0.2">
      <c r="A683" s="43">
        <f>Data!A688</f>
        <v>43407</v>
      </c>
      <c r="B683" s="42">
        <f>IFERROR(AVERAGE(Data!B688), "  ")</f>
        <v>411</v>
      </c>
      <c r="C683" s="42">
        <f>IFERROR(AVERAGE(Data!C688), "  ")</f>
        <v>22</v>
      </c>
      <c r="D683" s="42">
        <f>IFERROR(AVERAGE(Data!D688), "  ")</f>
        <v>107</v>
      </c>
      <c r="E683" s="42">
        <f>IFERROR(AVERAGE(Data!E688), "  ")</f>
        <v>540</v>
      </c>
      <c r="F683" s="42">
        <f>IFERROR(AVERAGE(Data!F688), "  ")</f>
        <v>878</v>
      </c>
      <c r="G683" s="42">
        <f>IFERROR(AVERAGE(Data!G688), "  ")</f>
        <v>338</v>
      </c>
      <c r="H683" s="44">
        <f>IFERROR(AVERAGE(Data!H688), "  ")</f>
        <v>0.28550512445095166</v>
      </c>
      <c r="I683" s="44">
        <f>IFERROR(AVERAGE(Data!I688), "  ")</f>
        <v>1.2314049586776858</v>
      </c>
      <c r="J683" s="42">
        <f>IFERROR(AVERAGE(Data!J688), "  ")</f>
        <v>298</v>
      </c>
      <c r="K683" s="44">
        <f>IFERROR(AVERAGE(Data!K688), "  ")</f>
        <v>-0.16856060606060605</v>
      </c>
      <c r="L683" s="45">
        <f>IFERROR(AVERAGE(Data!L688), "  ")</f>
        <v>958</v>
      </c>
    </row>
    <row r="684" spans="1:12" x14ac:dyDescent="0.2">
      <c r="A684" s="43">
        <f>Data!A689</f>
        <v>43414</v>
      </c>
      <c r="B684" s="42">
        <f>IFERROR(AVERAGE(Data!B689), "  ")</f>
        <v>471</v>
      </c>
      <c r="C684" s="42">
        <f>IFERROR(AVERAGE(Data!C689), "  ")</f>
        <v>33</v>
      </c>
      <c r="D684" s="42">
        <f>IFERROR(AVERAGE(Data!D689), "  ")</f>
        <v>118</v>
      </c>
      <c r="E684" s="42">
        <f>IFERROR(AVERAGE(Data!E689), "  ")</f>
        <v>622</v>
      </c>
      <c r="F684" s="42">
        <f>IFERROR(AVERAGE(Data!F689), "  ")</f>
        <v>766</v>
      </c>
      <c r="G684" s="42">
        <f>IFERROR(AVERAGE(Data!G689), "  ")</f>
        <v>144</v>
      </c>
      <c r="H684" s="44">
        <f>IFERROR(AVERAGE(Data!H689), "  ")</f>
        <v>-0.12756264236902051</v>
      </c>
      <c r="I684" s="44">
        <f>IFERROR(AVERAGE(Data!I689), "  ")</f>
        <v>0.15185185185185185</v>
      </c>
      <c r="J684" s="42">
        <f>IFERROR(AVERAGE(Data!J689), "  ")</f>
        <v>82</v>
      </c>
      <c r="K684" s="44">
        <f>IFERROR(AVERAGE(Data!K689), "  ")</f>
        <v>-0.25703200775945684</v>
      </c>
      <c r="L684" s="45">
        <f>IFERROR(AVERAGE(Data!L689), "  ")</f>
        <v>1005.3333333333334</v>
      </c>
    </row>
    <row r="685" spans="1:12" x14ac:dyDescent="0.2">
      <c r="A685" s="43">
        <f>Data!A690</f>
        <v>43421</v>
      </c>
      <c r="B685" s="42">
        <f>IFERROR(AVERAGE(Data!B690), "  ")</f>
        <v>443</v>
      </c>
      <c r="C685" s="42">
        <f>IFERROR(AVERAGE(Data!C690), "  ")</f>
        <v>21</v>
      </c>
      <c r="D685" s="42">
        <f>IFERROR(AVERAGE(Data!D690), "  ")</f>
        <v>11</v>
      </c>
      <c r="E685" s="42">
        <f>IFERROR(AVERAGE(Data!E690), "  ")</f>
        <v>475</v>
      </c>
      <c r="F685" s="42">
        <f>IFERROR(AVERAGE(Data!F690), "  ")</f>
        <v>795</v>
      </c>
      <c r="G685" s="42">
        <f>IFERROR(AVERAGE(Data!G690), "  ")</f>
        <v>320</v>
      </c>
      <c r="H685" s="44">
        <f>IFERROR(AVERAGE(Data!H690), "  ")</f>
        <v>3.7859007832898174E-2</v>
      </c>
      <c r="I685" s="44">
        <f>IFERROR(AVERAGE(Data!I690), "  ")</f>
        <v>-0.23633440514469453</v>
      </c>
      <c r="J685" s="42">
        <f>IFERROR(AVERAGE(Data!J690), "  ")</f>
        <v>-147</v>
      </c>
      <c r="K685" s="44">
        <f>IFERROR(AVERAGE(Data!K690), "  ")</f>
        <v>-0.23039690222652467</v>
      </c>
      <c r="L685" s="45">
        <f>IFERROR(AVERAGE(Data!L690), "  ")</f>
        <v>1037</v>
      </c>
    </row>
    <row r="686" spans="1:12" x14ac:dyDescent="0.2">
      <c r="A686" s="43">
        <f>Data!A691</f>
        <v>43428</v>
      </c>
      <c r="B686" s="42">
        <f>IFERROR(AVERAGE(Data!B691), "  ")</f>
        <v>421</v>
      </c>
      <c r="C686" s="42">
        <f>IFERROR(AVERAGE(Data!C691), "  ")</f>
        <v>35</v>
      </c>
      <c r="D686" s="42">
        <f>IFERROR(AVERAGE(Data!D691), "  ")</f>
        <v>120</v>
      </c>
      <c r="E686" s="42">
        <f>IFERROR(AVERAGE(Data!E691), "  ")</f>
        <v>576</v>
      </c>
      <c r="F686" s="42">
        <f>IFERROR(AVERAGE(Data!F691), "  ")</f>
        <v>864</v>
      </c>
      <c r="G686" s="42">
        <f>IFERROR(AVERAGE(Data!G691), "  ")</f>
        <v>288</v>
      </c>
      <c r="H686" s="44">
        <f>IFERROR(AVERAGE(Data!H691), "  ")</f>
        <v>8.6792452830188674E-2</v>
      </c>
      <c r="I686" s="44">
        <f>IFERROR(AVERAGE(Data!I691), "  ")</f>
        <v>0.21263157894736842</v>
      </c>
      <c r="J686" s="42">
        <f>IFERROR(AVERAGE(Data!J691), "  ")</f>
        <v>101</v>
      </c>
      <c r="K686" s="44">
        <f>IFERROR(AVERAGE(Data!K691), "  ")</f>
        <v>-6.8965517241379309E-3</v>
      </c>
      <c r="L686" s="45">
        <f>IFERROR(AVERAGE(Data!L691), "  ")</f>
        <v>986.33333333333337</v>
      </c>
    </row>
    <row r="687" spans="1:12" x14ac:dyDescent="0.2">
      <c r="A687" s="43">
        <f>Data!A692</f>
        <v>43435</v>
      </c>
      <c r="B687" s="42">
        <f>IFERROR(AVERAGE(Data!B692), "  ")</f>
        <v>341</v>
      </c>
      <c r="C687" s="42">
        <f>IFERROR(AVERAGE(Data!C692), "  ")</f>
        <v>28</v>
      </c>
      <c r="D687" s="42">
        <f>IFERROR(AVERAGE(Data!D692), "  ")</f>
        <v>60</v>
      </c>
      <c r="E687" s="42">
        <f>IFERROR(AVERAGE(Data!E692), "  ")</f>
        <v>429</v>
      </c>
      <c r="F687" s="42">
        <f>IFERROR(AVERAGE(Data!F692), "  ")</f>
        <v>903</v>
      </c>
      <c r="G687" s="42">
        <f>IFERROR(AVERAGE(Data!G692), "  ")</f>
        <v>474</v>
      </c>
      <c r="H687" s="44">
        <f>IFERROR(AVERAGE(Data!H692), "  ")</f>
        <v>4.5138888888888888E-2</v>
      </c>
      <c r="I687" s="44">
        <f>IFERROR(AVERAGE(Data!I692), "  ")</f>
        <v>-0.25520833333333331</v>
      </c>
      <c r="J687" s="42">
        <f>IFERROR(AVERAGE(Data!J692), "  ")</f>
        <v>-147</v>
      </c>
      <c r="K687" s="44">
        <f>IFERROR(AVERAGE(Data!K692), "  ")</f>
        <v>4.6349942062572425E-2</v>
      </c>
      <c r="L687" s="45">
        <f>IFERROR(AVERAGE(Data!L692), "  ")</f>
        <v>911.33333333333337</v>
      </c>
    </row>
    <row r="688" spans="1:12" x14ac:dyDescent="0.2">
      <c r="A688" s="43">
        <f>Data!A693</f>
        <v>43442</v>
      </c>
      <c r="B688" s="42">
        <f>IFERROR(AVERAGE(Data!B693), "  ")</f>
        <v>371</v>
      </c>
      <c r="C688" s="42">
        <f>IFERROR(AVERAGE(Data!C693), "  ")</f>
        <v>38</v>
      </c>
      <c r="D688" s="42">
        <f>IFERROR(AVERAGE(Data!D693), "  ")</f>
        <v>94</v>
      </c>
      <c r="E688" s="42">
        <f>IFERROR(AVERAGE(Data!E693), "  ")</f>
        <v>503</v>
      </c>
      <c r="F688" s="42">
        <f>IFERROR(AVERAGE(Data!F693), "  ")</f>
        <v>790</v>
      </c>
      <c r="G688" s="42">
        <f>IFERROR(AVERAGE(Data!G693), "  ")</f>
        <v>287</v>
      </c>
      <c r="H688" s="44">
        <f>IFERROR(AVERAGE(Data!H693), "  ")</f>
        <v>-0.12513842746400886</v>
      </c>
      <c r="I688" s="44">
        <f>IFERROR(AVERAGE(Data!I693), "  ")</f>
        <v>0.17249417249417248</v>
      </c>
      <c r="J688" s="42">
        <f>IFERROR(AVERAGE(Data!J693), "  ")</f>
        <v>74</v>
      </c>
      <c r="K688" s="44">
        <f>IFERROR(AVERAGE(Data!K693), "  ")</f>
        <v>0.16863905325443787</v>
      </c>
      <c r="L688" s="45">
        <f>IFERROR(AVERAGE(Data!L693), "  ")</f>
        <v>852</v>
      </c>
    </row>
    <row r="689" spans="1:12" x14ac:dyDescent="0.2">
      <c r="A689" s="43">
        <f>Data!A694</f>
        <v>43449</v>
      </c>
      <c r="B689" s="42">
        <f>IFERROR(AVERAGE(Data!B694), "  ")</f>
        <v>357</v>
      </c>
      <c r="C689" s="42">
        <f>IFERROR(AVERAGE(Data!C694), "  ")</f>
        <v>42</v>
      </c>
      <c r="D689" s="42">
        <f>IFERROR(AVERAGE(Data!D694), "  ")</f>
        <v>151</v>
      </c>
      <c r="E689" s="42">
        <f>IFERROR(AVERAGE(Data!E694), "  ")</f>
        <v>550</v>
      </c>
      <c r="F689" s="42">
        <f>IFERROR(AVERAGE(Data!F694), "  ")</f>
        <v>816</v>
      </c>
      <c r="G689" s="42">
        <f>IFERROR(AVERAGE(Data!G694), "  ")</f>
        <v>266</v>
      </c>
      <c r="H689" s="44">
        <f>IFERROR(AVERAGE(Data!H694), "  ")</f>
        <v>3.2911392405063293E-2</v>
      </c>
      <c r="I689" s="44">
        <f>IFERROR(AVERAGE(Data!I694), "  ")</f>
        <v>9.3439363817097415E-2</v>
      </c>
      <c r="J689" s="42">
        <f>IFERROR(AVERAGE(Data!J694), "  ")</f>
        <v>47</v>
      </c>
      <c r="K689" s="44">
        <f>IFERROR(AVERAGE(Data!K694), "  ")</f>
        <v>-0.11496746203904555</v>
      </c>
      <c r="L689" s="45">
        <f>IFERROR(AVERAGE(Data!L694), "  ")</f>
        <v>922</v>
      </c>
    </row>
    <row r="690" spans="1:12" x14ac:dyDescent="0.2">
      <c r="A690" s="43">
        <f>Data!A695</f>
        <v>43456</v>
      </c>
      <c r="B690" s="42">
        <f>IFERROR(AVERAGE(Data!B695), "  ")</f>
        <v>307</v>
      </c>
      <c r="C690" s="42">
        <f>IFERROR(AVERAGE(Data!C695), "  ")</f>
        <v>15</v>
      </c>
      <c r="D690" s="42">
        <f>IFERROR(AVERAGE(Data!D695), "  ")</f>
        <v>132</v>
      </c>
      <c r="E690" s="42">
        <f>IFERROR(AVERAGE(Data!E695), "  ")</f>
        <v>454</v>
      </c>
      <c r="F690" s="42">
        <f>IFERROR(AVERAGE(Data!F695), "  ")</f>
        <v>796</v>
      </c>
      <c r="G690" s="42">
        <f>IFERROR(AVERAGE(Data!G695), "  ")</f>
        <v>342</v>
      </c>
      <c r="H690" s="44">
        <f>IFERROR(AVERAGE(Data!H695), "  ")</f>
        <v>-2.4509803921568627E-2</v>
      </c>
      <c r="I690" s="44">
        <f>IFERROR(AVERAGE(Data!I695), "  ")</f>
        <v>-0.17454545454545456</v>
      </c>
      <c r="J690" s="42">
        <f>IFERROR(AVERAGE(Data!J695), "  ")</f>
        <v>-96</v>
      </c>
      <c r="K690" s="44">
        <f>IFERROR(AVERAGE(Data!K695), "  ")</f>
        <v>9.3406593406593408E-2</v>
      </c>
      <c r="L690" s="45">
        <f>IFERROR(AVERAGE(Data!L695), "  ")</f>
        <v>759.33333333333337</v>
      </c>
    </row>
    <row r="691" spans="1:12" x14ac:dyDescent="0.2">
      <c r="A691" s="43">
        <f>Data!A696</f>
        <v>43463</v>
      </c>
      <c r="B691" s="42">
        <f>IFERROR(AVERAGE(Data!B696), "  ")</f>
        <v>233</v>
      </c>
      <c r="C691" s="42">
        <f>IFERROR(AVERAGE(Data!C696), "  ")</f>
        <v>37</v>
      </c>
      <c r="D691" s="42">
        <f>IFERROR(AVERAGE(Data!D696), "  ")</f>
        <v>114</v>
      </c>
      <c r="E691" s="42">
        <f>IFERROR(AVERAGE(Data!E696), "  ")</f>
        <v>384</v>
      </c>
      <c r="F691" s="42">
        <f>IFERROR(AVERAGE(Data!F696), "  ")</f>
        <v>659</v>
      </c>
      <c r="G691" s="42">
        <f>IFERROR(AVERAGE(Data!G696), "  ")</f>
        <v>275</v>
      </c>
      <c r="H691" s="44">
        <f>IFERROR(AVERAGE(Data!H696), "  ")</f>
        <v>-0.17211055276381909</v>
      </c>
      <c r="I691" s="44">
        <f>IFERROR(AVERAGE(Data!I696), "  ")</f>
        <v>-0.15418502202643172</v>
      </c>
      <c r="J691" s="42">
        <f>IFERROR(AVERAGE(Data!J696), "  ")</f>
        <v>-70</v>
      </c>
      <c r="K691" s="44">
        <f>IFERROR(AVERAGE(Data!K696), "  ")</f>
        <v>-0.26368715083798883</v>
      </c>
      <c r="L691" s="45">
        <f>IFERROR(AVERAGE(Data!L696), "  ")</f>
        <v>841.66666666666663</v>
      </c>
    </row>
    <row r="692" spans="1:12" x14ac:dyDescent="0.2">
      <c r="A692" s="43">
        <f>Data!A697</f>
        <v>43470</v>
      </c>
      <c r="B692" s="42">
        <f>IFERROR(AVERAGE(Data!B697), "  ")</f>
        <v>149</v>
      </c>
      <c r="C692" s="42">
        <f>IFERROR(AVERAGE(Data!C697), "  ")</f>
        <v>21</v>
      </c>
      <c r="D692" s="42">
        <f>IFERROR(AVERAGE(Data!D697), "  ")</f>
        <v>76</v>
      </c>
      <c r="E692" s="42">
        <f>IFERROR(AVERAGE(Data!E697), "  ")</f>
        <v>246</v>
      </c>
      <c r="F692" s="42">
        <f>IFERROR(AVERAGE(Data!F697), "  ")</f>
        <v>594</v>
      </c>
      <c r="G692" s="42">
        <f>IFERROR(AVERAGE(Data!G697), "  ")</f>
        <v>348</v>
      </c>
      <c r="H692" s="44">
        <f>IFERROR(AVERAGE(Data!H697), "  ")</f>
        <v>-9.8634294385432475E-2</v>
      </c>
      <c r="I692" s="44">
        <f>IFERROR(AVERAGE(Data!I697), "  ")</f>
        <v>-0.359375</v>
      </c>
      <c r="J692" s="42">
        <f>IFERROR(AVERAGE(Data!J697), "  ")</f>
        <v>-138</v>
      </c>
      <c r="K692" s="44">
        <f>IFERROR(AVERAGE(Data!K697), "  ")</f>
        <v>-0.27205882352941174</v>
      </c>
      <c r="L692" s="45">
        <f>IFERROR(AVERAGE(Data!L697), "  ")</f>
        <v>763.66666666666663</v>
      </c>
    </row>
    <row r="693" spans="1:12" x14ac:dyDescent="0.2">
      <c r="A693" s="43">
        <f>Data!A698</f>
        <v>43477</v>
      </c>
      <c r="B693" s="42">
        <f>IFERROR(AVERAGE(Data!B698), "  ")</f>
        <v>198</v>
      </c>
      <c r="C693" s="42">
        <f>IFERROR(AVERAGE(Data!C698), "  ")</f>
        <v>23</v>
      </c>
      <c r="D693" s="42">
        <f>IFERROR(AVERAGE(Data!D698), "  ")</f>
        <v>125</v>
      </c>
      <c r="E693" s="42">
        <f>IFERROR(AVERAGE(Data!E698), "  ")</f>
        <v>346</v>
      </c>
      <c r="F693" s="42">
        <f>IFERROR(AVERAGE(Data!F698), "  ")</f>
        <v>794</v>
      </c>
      <c r="G693" s="42">
        <f>IFERROR(AVERAGE(Data!G698), "  ")</f>
        <v>448</v>
      </c>
      <c r="H693" s="44">
        <f>IFERROR(AVERAGE(Data!H698), "  ")</f>
        <v>0.33670033670033672</v>
      </c>
      <c r="I693" s="44">
        <f>IFERROR(AVERAGE(Data!I698), "  ")</f>
        <v>0.4065040650406504</v>
      </c>
      <c r="J693" s="42">
        <f>IFERROR(AVERAGE(Data!J698), "  ")</f>
        <v>100</v>
      </c>
      <c r="K693" s="44">
        <f>IFERROR(AVERAGE(Data!K698), "  ")</f>
        <v>6.2918340026773767E-2</v>
      </c>
      <c r="L693" s="45">
        <f>IFERROR(AVERAGE(Data!L698), "  ")</f>
        <v>749</v>
      </c>
    </row>
    <row r="694" spans="1:12" x14ac:dyDescent="0.2">
      <c r="A694" s="43">
        <f>Data!A699</f>
        <v>43484</v>
      </c>
      <c r="B694" s="42">
        <f>IFERROR(AVERAGE(Data!B699), "  ")</f>
        <v>155</v>
      </c>
      <c r="C694" s="42">
        <f>IFERROR(AVERAGE(Data!C699), "  ")</f>
        <v>17</v>
      </c>
      <c r="D694" s="42">
        <f>IFERROR(AVERAGE(Data!D699), "  ")</f>
        <v>180</v>
      </c>
      <c r="E694" s="42">
        <f>IFERROR(AVERAGE(Data!E699), "  ")</f>
        <v>352</v>
      </c>
      <c r="F694" s="42">
        <f>IFERROR(AVERAGE(Data!F699), "  ")</f>
        <v>701</v>
      </c>
      <c r="G694" s="42">
        <f>IFERROR(AVERAGE(Data!G699), "  ")</f>
        <v>349</v>
      </c>
      <c r="H694" s="44">
        <f>IFERROR(AVERAGE(Data!H699), "  ")</f>
        <v>-0.11712846347607053</v>
      </c>
      <c r="I694" s="44">
        <f>IFERROR(AVERAGE(Data!I699), "  ")</f>
        <v>1.7341040462427744E-2</v>
      </c>
      <c r="J694" s="42">
        <f>IFERROR(AVERAGE(Data!J699), "  ")</f>
        <v>6</v>
      </c>
      <c r="K694" s="44">
        <f>IFERROR(AVERAGE(Data!K699), "  ")</f>
        <v>0.24290780141843971</v>
      </c>
      <c r="L694" s="45">
        <f>IFERROR(AVERAGE(Data!L699), "  ")</f>
        <v>684</v>
      </c>
    </row>
    <row r="695" spans="1:12" x14ac:dyDescent="0.2">
      <c r="A695" s="43">
        <f>Data!A700</f>
        <v>43491</v>
      </c>
      <c r="B695" s="42">
        <f>IFERROR(AVERAGE(Data!B700), "  ")</f>
        <v>72</v>
      </c>
      <c r="C695" s="42">
        <f>IFERROR(AVERAGE(Data!C700), "  ")</f>
        <v>11</v>
      </c>
      <c r="D695" s="42">
        <f>IFERROR(AVERAGE(Data!D700), "  ")</f>
        <v>188</v>
      </c>
      <c r="E695" s="42">
        <f>IFERROR(AVERAGE(Data!E700), "  ")</f>
        <v>271</v>
      </c>
      <c r="F695" s="42">
        <f>IFERROR(AVERAGE(Data!F700), "  ")</f>
        <v>821</v>
      </c>
      <c r="G695" s="42">
        <f>IFERROR(AVERAGE(Data!G700), "  ")</f>
        <v>550</v>
      </c>
      <c r="H695" s="44">
        <f>IFERROR(AVERAGE(Data!H700), "  ")</f>
        <v>0.17118402282453637</v>
      </c>
      <c r="I695" s="44">
        <f>IFERROR(AVERAGE(Data!I700), "  ")</f>
        <v>-0.23011363636363635</v>
      </c>
      <c r="J695" s="42">
        <f>IFERROR(AVERAGE(Data!J700), "  ")</f>
        <v>-81</v>
      </c>
      <c r="K695" s="44">
        <f>IFERROR(AVERAGE(Data!K700), "  ")</f>
        <v>5.2564102564102565E-2</v>
      </c>
      <c r="L695" s="45">
        <f>IFERROR(AVERAGE(Data!L700), "  ")</f>
        <v>773</v>
      </c>
    </row>
    <row r="696" spans="1:12" x14ac:dyDescent="0.2">
      <c r="A696" s="43">
        <f>Data!A701</f>
        <v>43498</v>
      </c>
      <c r="B696" s="42">
        <f>IFERROR(AVERAGE(Data!B701), "  ")</f>
        <v>87</v>
      </c>
      <c r="C696" s="42">
        <f>IFERROR(AVERAGE(Data!C701), "  ")</f>
        <v>48</v>
      </c>
      <c r="D696" s="42">
        <f>IFERROR(AVERAGE(Data!D701), "  ")</f>
        <v>85</v>
      </c>
      <c r="E696" s="42">
        <f>IFERROR(AVERAGE(Data!E701), "  ")</f>
        <v>220</v>
      </c>
      <c r="F696" s="42">
        <f>IFERROR(AVERAGE(Data!F701), "  ")</f>
        <v>865</v>
      </c>
      <c r="G696" s="42">
        <f>IFERROR(AVERAGE(Data!G701), "  ")</f>
        <v>645</v>
      </c>
      <c r="H696" s="44">
        <f>IFERROR(AVERAGE(Data!H701), "  ")</f>
        <v>5.3593179049939099E-2</v>
      </c>
      <c r="I696" s="44">
        <f>IFERROR(AVERAGE(Data!I701), "  ")</f>
        <v>-0.18819188191881919</v>
      </c>
      <c r="J696" s="42">
        <f>IFERROR(AVERAGE(Data!J701), "  ")</f>
        <v>-51</v>
      </c>
      <c r="K696" s="44">
        <f>IFERROR(AVERAGE(Data!K701), "  ")</f>
        <v>-5.3610503282275714E-2</v>
      </c>
      <c r="L696" s="45">
        <f>IFERROR(AVERAGE(Data!L701), "  ")</f>
        <v>852</v>
      </c>
    </row>
    <row r="697" spans="1:12" x14ac:dyDescent="0.2">
      <c r="A697" s="43">
        <f>Data!A702</f>
        <v>43505</v>
      </c>
      <c r="B697" s="42">
        <f>IFERROR(AVERAGE(Data!B702), "  ")</f>
        <v>63</v>
      </c>
      <c r="C697" s="42">
        <f>IFERROR(AVERAGE(Data!C702), "  ")</f>
        <v>46</v>
      </c>
      <c r="D697" s="42">
        <f>IFERROR(AVERAGE(Data!D702), "  ")</f>
        <v>144</v>
      </c>
      <c r="E697" s="42">
        <f>IFERROR(AVERAGE(Data!E702), "  ")</f>
        <v>253</v>
      </c>
      <c r="F697" s="42">
        <f>IFERROR(AVERAGE(Data!F702), "  ")</f>
        <v>617</v>
      </c>
      <c r="G697" s="42">
        <f>IFERROR(AVERAGE(Data!G702), "  ")</f>
        <v>364</v>
      </c>
      <c r="H697" s="44">
        <f>IFERROR(AVERAGE(Data!H702), "  ")</f>
        <v>-0.28670520231213875</v>
      </c>
      <c r="I697" s="44">
        <f>IFERROR(AVERAGE(Data!I702), "  ")</f>
        <v>0.15</v>
      </c>
      <c r="J697" s="42">
        <f>IFERROR(AVERAGE(Data!J702), "  ")</f>
        <v>33</v>
      </c>
      <c r="K697" s="44">
        <f>IFERROR(AVERAGE(Data!K702), "  ")</f>
        <v>-0.17733333333333334</v>
      </c>
      <c r="L697" s="45">
        <f>IFERROR(AVERAGE(Data!L702), "  ")</f>
        <v>844.33333333333337</v>
      </c>
    </row>
    <row r="698" spans="1:12" x14ac:dyDescent="0.2">
      <c r="A698" s="43">
        <f>Data!A703</f>
        <v>43512</v>
      </c>
      <c r="B698" s="42">
        <f>IFERROR(AVERAGE(Data!B703), "  ")</f>
        <v>75</v>
      </c>
      <c r="C698" s="42">
        <f>IFERROR(AVERAGE(Data!C703), "  ")</f>
        <v>9</v>
      </c>
      <c r="D698" s="42">
        <f>IFERROR(AVERAGE(Data!D703), "  ")</f>
        <v>135</v>
      </c>
      <c r="E698" s="42">
        <f>IFERROR(AVERAGE(Data!E703), "  ")</f>
        <v>219</v>
      </c>
      <c r="F698" s="42">
        <f>IFERROR(AVERAGE(Data!F703), "  ")</f>
        <v>744</v>
      </c>
      <c r="G698" s="42">
        <f>IFERROR(AVERAGE(Data!G703), "  ")</f>
        <v>525</v>
      </c>
      <c r="H698" s="44">
        <f>IFERROR(AVERAGE(Data!H703), "  ")</f>
        <v>0.20583468395461912</v>
      </c>
      <c r="I698" s="44">
        <f>IFERROR(AVERAGE(Data!I703), "  ")</f>
        <v>-0.13438735177865613</v>
      </c>
      <c r="J698" s="42">
        <f>IFERROR(AVERAGE(Data!J703), "  ")</f>
        <v>-34</v>
      </c>
      <c r="K698" s="44">
        <f>IFERROR(AVERAGE(Data!K703), "  ")</f>
        <v>0.3651376146788991</v>
      </c>
      <c r="L698" s="45">
        <f>IFERROR(AVERAGE(Data!L703), "  ")</f>
        <v>762.66666666666663</v>
      </c>
    </row>
    <row r="699" spans="1:12" x14ac:dyDescent="0.2">
      <c r="A699" s="43">
        <f>Data!A704</f>
        <v>43519</v>
      </c>
      <c r="B699" s="42">
        <f>IFERROR(AVERAGE(Data!B704), "  ")</f>
        <v>124</v>
      </c>
      <c r="C699" s="42">
        <f>IFERROR(AVERAGE(Data!C704), "  ")</f>
        <v>56</v>
      </c>
      <c r="D699" s="42">
        <f>IFERROR(AVERAGE(Data!D704), "  ")</f>
        <v>64</v>
      </c>
      <c r="E699" s="42">
        <f>IFERROR(AVERAGE(Data!E704), "  ")</f>
        <v>244</v>
      </c>
      <c r="F699" s="42">
        <f>IFERROR(AVERAGE(Data!F704), "  ")</f>
        <v>633</v>
      </c>
      <c r="G699" s="42">
        <f>IFERROR(AVERAGE(Data!G704), "  ")</f>
        <v>389</v>
      </c>
      <c r="H699" s="44">
        <f>IFERROR(AVERAGE(Data!H704), "  ")</f>
        <v>-0.14919354838709678</v>
      </c>
      <c r="I699" s="44">
        <f>IFERROR(AVERAGE(Data!I704), "  ")</f>
        <v>0.11415525114155251</v>
      </c>
      <c r="J699" s="42">
        <f>IFERROR(AVERAGE(Data!J704), "  ")</f>
        <v>25</v>
      </c>
      <c r="K699" s="44">
        <f>IFERROR(AVERAGE(Data!K704), "  ")</f>
        <v>-0.20874999999999999</v>
      </c>
      <c r="L699" s="45">
        <f>IFERROR(AVERAGE(Data!L704), "  ")</f>
        <v>783</v>
      </c>
    </row>
    <row r="700" spans="1:12" x14ac:dyDescent="0.2">
      <c r="A700" s="43">
        <f>Data!A705</f>
        <v>43526</v>
      </c>
      <c r="B700" s="42">
        <f>IFERROR(AVERAGE(Data!B705), "  ")</f>
        <v>126</v>
      </c>
      <c r="C700" s="42">
        <f>IFERROR(AVERAGE(Data!C705), "  ")</f>
        <v>35</v>
      </c>
      <c r="D700" s="42">
        <f>IFERROR(AVERAGE(Data!D705), "  ")</f>
        <v>0</v>
      </c>
      <c r="E700" s="42">
        <f>IFERROR(AVERAGE(Data!E705), "  ")</f>
        <v>161</v>
      </c>
      <c r="F700" s="42">
        <f>IFERROR(AVERAGE(Data!F705), "  ")</f>
        <v>513</v>
      </c>
      <c r="G700" s="42">
        <f>IFERROR(AVERAGE(Data!G705), "  ")</f>
        <v>352</v>
      </c>
      <c r="H700" s="44">
        <f>IFERROR(AVERAGE(Data!H705), "  ")</f>
        <v>-0.1895734597156398</v>
      </c>
      <c r="I700" s="44">
        <f>IFERROR(AVERAGE(Data!I705), "  ")</f>
        <v>-0.3401639344262295</v>
      </c>
      <c r="J700" s="42">
        <f>IFERROR(AVERAGE(Data!J705), "  ")</f>
        <v>-83</v>
      </c>
      <c r="K700" s="44">
        <f>IFERROR(AVERAGE(Data!K705), "  ")</f>
        <v>-0.31691078561917441</v>
      </c>
      <c r="L700" s="45">
        <f>IFERROR(AVERAGE(Data!L705), "  ")</f>
        <v>789.66666666666663</v>
      </c>
    </row>
    <row r="701" spans="1:12" x14ac:dyDescent="0.2">
      <c r="A701" s="43">
        <f>Data!A706</f>
        <v>43533</v>
      </c>
      <c r="B701" s="42">
        <f>IFERROR(AVERAGE(Data!B706), "  ")</f>
        <v>190</v>
      </c>
      <c r="C701" s="42">
        <f>IFERROR(AVERAGE(Data!C706), "  ")</f>
        <v>58</v>
      </c>
      <c r="D701" s="42">
        <f>IFERROR(AVERAGE(Data!D706), "  ")</f>
        <v>0</v>
      </c>
      <c r="E701" s="42">
        <f>IFERROR(AVERAGE(Data!E706), "  ")</f>
        <v>248</v>
      </c>
      <c r="F701" s="42">
        <f>IFERROR(AVERAGE(Data!F706), "  ")</f>
        <v>486</v>
      </c>
      <c r="G701" s="42">
        <f>IFERROR(AVERAGE(Data!G706), "  ")</f>
        <v>238</v>
      </c>
      <c r="H701" s="44">
        <f>IFERROR(AVERAGE(Data!H706), "  ")</f>
        <v>-5.2631578947368418E-2</v>
      </c>
      <c r="I701" s="44">
        <f>IFERROR(AVERAGE(Data!I706), "  ")</f>
        <v>0.54037267080745344</v>
      </c>
      <c r="J701" s="42">
        <f>IFERROR(AVERAGE(Data!J706), "  ")</f>
        <v>87</v>
      </c>
      <c r="K701" s="44">
        <f>IFERROR(AVERAGE(Data!K706), "  ")</f>
        <v>-0.32593619972260751</v>
      </c>
      <c r="L701" s="45">
        <f>IFERROR(AVERAGE(Data!L706), "  ")</f>
        <v>682.33333333333337</v>
      </c>
    </row>
    <row r="702" spans="1:12" x14ac:dyDescent="0.2">
      <c r="A702" s="43">
        <f>Data!A707</f>
        <v>43540</v>
      </c>
      <c r="B702" s="42">
        <f>IFERROR(AVERAGE(Data!B707), "  ")</f>
        <v>138</v>
      </c>
      <c r="C702" s="42">
        <f>IFERROR(AVERAGE(Data!C707), "  ")</f>
        <v>15</v>
      </c>
      <c r="D702" s="42">
        <f>IFERROR(AVERAGE(Data!D707), "  ")</f>
        <v>236</v>
      </c>
      <c r="E702" s="42">
        <f>IFERROR(AVERAGE(Data!E707), "  ")</f>
        <v>389</v>
      </c>
      <c r="F702" s="42">
        <f>IFERROR(AVERAGE(Data!F707), "  ")</f>
        <v>466</v>
      </c>
      <c r="G702" s="42">
        <f>IFERROR(AVERAGE(Data!G707), "  ")</f>
        <v>77</v>
      </c>
      <c r="H702" s="44">
        <f>IFERROR(AVERAGE(Data!H707), "  ")</f>
        <v>-4.1152263374485597E-2</v>
      </c>
      <c r="I702" s="44">
        <f>IFERROR(AVERAGE(Data!I707), "  ")</f>
        <v>0.56854838709677424</v>
      </c>
      <c r="J702" s="42">
        <f>IFERROR(AVERAGE(Data!J707), "  ")</f>
        <v>141</v>
      </c>
      <c r="K702" s="44">
        <f>IFERROR(AVERAGE(Data!K707), "  ")</f>
        <v>-0.18101933216168717</v>
      </c>
      <c r="L702" s="45">
        <f>IFERROR(AVERAGE(Data!L707), "  ")</f>
        <v>601.66666666666663</v>
      </c>
    </row>
    <row r="703" spans="1:12" x14ac:dyDescent="0.2">
      <c r="A703" s="43">
        <f>Data!A708</f>
        <v>43547</v>
      </c>
      <c r="B703" s="42">
        <f>IFERROR(AVERAGE(Data!B708), "  ")</f>
        <v>161</v>
      </c>
      <c r="C703" s="42">
        <f>IFERROR(AVERAGE(Data!C708), "  ")</f>
        <v>61</v>
      </c>
      <c r="D703" s="42">
        <f>IFERROR(AVERAGE(Data!D708), "  ")</f>
        <v>206</v>
      </c>
      <c r="E703" s="42">
        <f>IFERROR(AVERAGE(Data!E708), "  ")</f>
        <v>428</v>
      </c>
      <c r="F703" s="42">
        <f>IFERROR(AVERAGE(Data!F708), "  ")</f>
        <v>644</v>
      </c>
      <c r="G703" s="42">
        <f>IFERROR(AVERAGE(Data!G708), "  ")</f>
        <v>216</v>
      </c>
      <c r="H703" s="44">
        <f>IFERROR(AVERAGE(Data!H708), "  ")</f>
        <v>0.38197424892703863</v>
      </c>
      <c r="I703" s="44">
        <f>IFERROR(AVERAGE(Data!I708), "  ")</f>
        <v>0.10025706940874037</v>
      </c>
      <c r="J703" s="42">
        <f>IFERROR(AVERAGE(Data!J708), "  ")</f>
        <v>39</v>
      </c>
      <c r="K703" s="44">
        <f>IFERROR(AVERAGE(Data!K708), "  ")</f>
        <v>0.15</v>
      </c>
      <c r="L703" s="45">
        <f>IFERROR(AVERAGE(Data!L708), "  ")</f>
        <v>612.66666666666663</v>
      </c>
    </row>
    <row r="704" spans="1:12" x14ac:dyDescent="0.2">
      <c r="A704" s="43">
        <f>Data!A709</f>
        <v>43554</v>
      </c>
      <c r="B704" s="42">
        <f>IFERROR(AVERAGE(Data!B709), "  ")</f>
        <v>176</v>
      </c>
      <c r="C704" s="42">
        <f>IFERROR(AVERAGE(Data!C709), "  ")</f>
        <v>27</v>
      </c>
      <c r="D704" s="42">
        <f>IFERROR(AVERAGE(Data!D709), "  ")</f>
        <v>198</v>
      </c>
      <c r="E704" s="42">
        <f>IFERROR(AVERAGE(Data!E709), "  ")</f>
        <v>401</v>
      </c>
      <c r="F704" s="42">
        <f>IFERROR(AVERAGE(Data!F709), "  ")</f>
        <v>653</v>
      </c>
      <c r="G704" s="42">
        <f>IFERROR(AVERAGE(Data!G709), "  ")</f>
        <v>252</v>
      </c>
      <c r="H704" s="44">
        <f>IFERROR(AVERAGE(Data!H709), "  ")</f>
        <v>1.3975155279503106E-2</v>
      </c>
      <c r="I704" s="44">
        <f>IFERROR(AVERAGE(Data!I709), "  ")</f>
        <v>-6.3084112149532703E-2</v>
      </c>
      <c r="J704" s="42">
        <f>IFERROR(AVERAGE(Data!J709), "  ")</f>
        <v>-27</v>
      </c>
      <c r="K704" s="44">
        <f>IFERROR(AVERAGE(Data!K709), "  ")</f>
        <v>7.0491803278688522E-2</v>
      </c>
      <c r="L704" s="45">
        <f>IFERROR(AVERAGE(Data!L709), "  ")</f>
        <v>658.33333333333337</v>
      </c>
    </row>
    <row r="705" spans="1:12" x14ac:dyDescent="0.2">
      <c r="A705" s="43">
        <f>Data!A710</f>
        <v>43561</v>
      </c>
      <c r="B705" s="42">
        <f>IFERROR(AVERAGE(Data!B710), "  ")</f>
        <v>159</v>
      </c>
      <c r="C705" s="42">
        <f>IFERROR(AVERAGE(Data!C710), "  ")</f>
        <v>47</v>
      </c>
      <c r="D705" s="42">
        <f>IFERROR(AVERAGE(Data!D710), "  ")</f>
        <v>124</v>
      </c>
      <c r="E705" s="42">
        <f>IFERROR(AVERAGE(Data!E710), "  ")</f>
        <v>330</v>
      </c>
      <c r="F705" s="42">
        <f>IFERROR(AVERAGE(Data!F710), "  ")</f>
        <v>469</v>
      </c>
      <c r="G705" s="42">
        <f>IFERROR(AVERAGE(Data!G710), "  ")</f>
        <v>139</v>
      </c>
      <c r="H705" s="44">
        <f>IFERROR(AVERAGE(Data!H710), "  ")</f>
        <v>-0.28177641653905056</v>
      </c>
      <c r="I705" s="44">
        <f>IFERROR(AVERAGE(Data!I710), "  ")</f>
        <v>-0.17705735660847879</v>
      </c>
      <c r="J705" s="42">
        <f>IFERROR(AVERAGE(Data!J710), "  ")</f>
        <v>-71</v>
      </c>
      <c r="K705" s="44">
        <f>IFERROR(AVERAGE(Data!K710), "  ")</f>
        <v>-0.40782828282828282</v>
      </c>
      <c r="L705" s="45">
        <f>IFERROR(AVERAGE(Data!L710), "  ")</f>
        <v>697</v>
      </c>
    </row>
    <row r="706" spans="1:12" x14ac:dyDescent="0.2">
      <c r="A706" s="43">
        <f>Data!A711</f>
        <v>43568</v>
      </c>
      <c r="B706" s="42">
        <f>IFERROR(AVERAGE(Data!B711), "  ")</f>
        <v>94</v>
      </c>
      <c r="C706" s="42">
        <f>IFERROR(AVERAGE(Data!C711), "  ")</f>
        <v>43</v>
      </c>
      <c r="D706" s="42">
        <f>IFERROR(AVERAGE(Data!D711), "  ")</f>
        <v>128</v>
      </c>
      <c r="E706" s="42">
        <f>IFERROR(AVERAGE(Data!E711), "  ")</f>
        <v>265</v>
      </c>
      <c r="F706" s="42">
        <f>IFERROR(AVERAGE(Data!F711), "  ")</f>
        <v>524</v>
      </c>
      <c r="G706" s="42">
        <f>IFERROR(AVERAGE(Data!G711), "  ")</f>
        <v>259</v>
      </c>
      <c r="H706" s="44">
        <f>IFERROR(AVERAGE(Data!H711), "  ")</f>
        <v>0.11727078891257996</v>
      </c>
      <c r="I706" s="44">
        <f>IFERROR(AVERAGE(Data!I711), "  ")</f>
        <v>-0.19696969696969696</v>
      </c>
      <c r="J706" s="42">
        <f>IFERROR(AVERAGE(Data!J711), "  ")</f>
        <v>-65</v>
      </c>
      <c r="K706" s="44">
        <f>IFERROR(AVERAGE(Data!K711), "  ")</f>
        <v>-0.29946524064171121</v>
      </c>
      <c r="L706" s="45">
        <f>IFERROR(AVERAGE(Data!L711), "  ")</f>
        <v>647.66666666666663</v>
      </c>
    </row>
    <row r="707" spans="1:12" x14ac:dyDescent="0.2">
      <c r="A707" s="43">
        <f>Data!A712</f>
        <v>43575</v>
      </c>
      <c r="B707" s="42">
        <f>IFERROR(AVERAGE(Data!B712), "  ")</f>
        <v>146</v>
      </c>
      <c r="C707" s="42">
        <f>IFERROR(AVERAGE(Data!C712), "  ")</f>
        <v>18</v>
      </c>
      <c r="D707" s="42">
        <f>IFERROR(AVERAGE(Data!D712), "  ")</f>
        <v>123</v>
      </c>
      <c r="E707" s="42">
        <f>IFERROR(AVERAGE(Data!E712), "  ")</f>
        <v>287</v>
      </c>
      <c r="F707" s="42">
        <f>IFERROR(AVERAGE(Data!F712), "  ")</f>
        <v>615</v>
      </c>
      <c r="G707" s="42">
        <f>IFERROR(AVERAGE(Data!G712), "  ")</f>
        <v>328</v>
      </c>
      <c r="H707" s="44">
        <f>IFERROR(AVERAGE(Data!H712), "  ")</f>
        <v>0.17366412213740459</v>
      </c>
      <c r="I707" s="44">
        <f>IFERROR(AVERAGE(Data!I712), "  ")</f>
        <v>8.3018867924528297E-2</v>
      </c>
      <c r="J707" s="42">
        <f>IFERROR(AVERAGE(Data!J712), "  ")</f>
        <v>22</v>
      </c>
      <c r="K707" s="44">
        <f>IFERROR(AVERAGE(Data!K712), "  ")</f>
        <v>-0.13135593220338984</v>
      </c>
      <c r="L707" s="45">
        <f>IFERROR(AVERAGE(Data!L712), "  ")</f>
        <v>671</v>
      </c>
    </row>
    <row r="708" spans="1:12" x14ac:dyDescent="0.2">
      <c r="A708" s="43">
        <f>Data!A713</f>
        <v>43582</v>
      </c>
      <c r="B708" s="42">
        <f>IFERROR(AVERAGE(Data!B713), "  ")</f>
        <v>125</v>
      </c>
      <c r="C708" s="42">
        <f>IFERROR(AVERAGE(Data!C713), "  ")</f>
        <v>36</v>
      </c>
      <c r="D708" s="42">
        <f>IFERROR(AVERAGE(Data!D713), "  ")</f>
        <v>107</v>
      </c>
      <c r="E708" s="42">
        <f>IFERROR(AVERAGE(Data!E713), "  ")</f>
        <v>268</v>
      </c>
      <c r="F708" s="42">
        <f>IFERROR(AVERAGE(Data!F713), "  ")</f>
        <v>595</v>
      </c>
      <c r="G708" s="42">
        <f>IFERROR(AVERAGE(Data!G713), "  ")</f>
        <v>327</v>
      </c>
      <c r="H708" s="44">
        <f>IFERROR(AVERAGE(Data!H713), "  ")</f>
        <v>-3.2520325203252036E-2</v>
      </c>
      <c r="I708" s="44">
        <f>IFERROR(AVERAGE(Data!I713), "  ")</f>
        <v>-6.6202090592334492E-2</v>
      </c>
      <c r="J708" s="42">
        <f>IFERROR(AVERAGE(Data!J713), "  ")</f>
        <v>-19</v>
      </c>
      <c r="K708" s="44">
        <f>IFERROR(AVERAGE(Data!K713), "  ")</f>
        <v>-9.298780487804878E-2</v>
      </c>
      <c r="L708" s="45">
        <f>IFERROR(AVERAGE(Data!L713), "  ")</f>
        <v>600.66666666666663</v>
      </c>
    </row>
    <row r="709" spans="1:12" x14ac:dyDescent="0.2">
      <c r="A709" s="43">
        <f>Data!A714</f>
        <v>43589</v>
      </c>
      <c r="B709" s="42">
        <f>IFERROR(AVERAGE(Data!B714), "  ")</f>
        <v>177</v>
      </c>
      <c r="C709" s="42">
        <f>IFERROR(AVERAGE(Data!C714), "  ")</f>
        <v>27</v>
      </c>
      <c r="D709" s="42">
        <f>IFERROR(AVERAGE(Data!D714), "  ")</f>
        <v>103</v>
      </c>
      <c r="E709" s="42">
        <f>IFERROR(AVERAGE(Data!E714), "  ")</f>
        <v>307</v>
      </c>
      <c r="F709" s="42">
        <f>IFERROR(AVERAGE(Data!F714), "  ")</f>
        <v>559</v>
      </c>
      <c r="G709" s="42">
        <f>IFERROR(AVERAGE(Data!G714), "  ")</f>
        <v>252</v>
      </c>
      <c r="H709" s="44">
        <f>IFERROR(AVERAGE(Data!H714), "  ")</f>
        <v>-6.0504201680672269E-2</v>
      </c>
      <c r="I709" s="44">
        <f>IFERROR(AVERAGE(Data!I714), "  ")</f>
        <v>0.1455223880597015</v>
      </c>
      <c r="J709" s="42">
        <f>IFERROR(AVERAGE(Data!J714), "  ")</f>
        <v>39</v>
      </c>
      <c r="K709" s="44">
        <f>IFERROR(AVERAGE(Data!K714), "  ")</f>
        <v>-0.18985507246376812</v>
      </c>
      <c r="L709" s="45">
        <f>IFERROR(AVERAGE(Data!L714), "  ")</f>
        <v>611.66666666666663</v>
      </c>
    </row>
    <row r="710" spans="1:12" x14ac:dyDescent="0.2">
      <c r="A710" s="43">
        <f>Data!A715</f>
        <v>43596</v>
      </c>
      <c r="B710" s="42">
        <f>IFERROR(AVERAGE(Data!B715), "  ")</f>
        <v>0</v>
      </c>
      <c r="C710" s="42">
        <f>IFERROR(AVERAGE(Data!C715), "  ")</f>
        <v>0</v>
      </c>
      <c r="D710" s="42">
        <f>IFERROR(AVERAGE(Data!D715), "  ")</f>
        <v>200</v>
      </c>
      <c r="E710" s="42">
        <f>IFERROR(AVERAGE(Data!E715), "  ")</f>
        <v>200</v>
      </c>
      <c r="F710" s="42">
        <f>IFERROR(AVERAGE(Data!F715), "  ")</f>
        <v>513</v>
      </c>
      <c r="G710" s="42">
        <f>IFERROR(AVERAGE(Data!G715), "  ")</f>
        <v>313</v>
      </c>
      <c r="H710" s="44">
        <f>IFERROR(AVERAGE(Data!H715), "  ")</f>
        <v>-8.2289803220035776E-2</v>
      </c>
      <c r="I710" s="44">
        <f>IFERROR(AVERAGE(Data!I715), "  ")</f>
        <v>-0.34853420195439738</v>
      </c>
      <c r="J710" s="42">
        <f>IFERROR(AVERAGE(Data!J715), "  ")</f>
        <v>-107</v>
      </c>
      <c r="K710" s="44">
        <f>IFERROR(AVERAGE(Data!K715), "  ")</f>
        <v>-0.32411067193675891</v>
      </c>
      <c r="L710" s="45">
        <f>IFERROR(AVERAGE(Data!L715), "  ")</f>
        <v>631.66666666666663</v>
      </c>
    </row>
    <row r="711" spans="1:12" x14ac:dyDescent="0.2">
      <c r="A711" s="43">
        <f>Data!A716</f>
        <v>43603</v>
      </c>
      <c r="B711" s="42">
        <f>IFERROR(AVERAGE(Data!B716), "  ")</f>
        <v>38</v>
      </c>
      <c r="C711" s="42">
        <f>IFERROR(AVERAGE(Data!C716), "  ")</f>
        <v>0</v>
      </c>
      <c r="D711" s="42">
        <f>IFERROR(AVERAGE(Data!D716), "  ")</f>
        <v>172</v>
      </c>
      <c r="E711" s="42">
        <f>IFERROR(AVERAGE(Data!E716), "  ")</f>
        <v>210</v>
      </c>
      <c r="F711" s="42">
        <f>IFERROR(AVERAGE(Data!F716), "  ")</f>
        <v>513</v>
      </c>
      <c r="G711" s="42">
        <f>IFERROR(AVERAGE(Data!G716), "  ")</f>
        <v>303</v>
      </c>
      <c r="H711" s="44">
        <f>IFERROR(AVERAGE(Data!H716), "  ")</f>
        <v>0</v>
      </c>
      <c r="I711" s="44">
        <f>IFERROR(AVERAGE(Data!I716), "  ")</f>
        <v>0.05</v>
      </c>
      <c r="J711" s="42">
        <f>IFERROR(AVERAGE(Data!J716), "  ")</f>
        <v>10</v>
      </c>
      <c r="K711" s="44">
        <f>IFERROR(AVERAGE(Data!K716), "  ")</f>
        <v>-0.26398852223816355</v>
      </c>
      <c r="L711" s="45">
        <f>IFERROR(AVERAGE(Data!L716), "  ")</f>
        <v>562</v>
      </c>
    </row>
    <row r="712" spans="1:12" x14ac:dyDescent="0.2">
      <c r="A712" s="43">
        <f>Data!A717</f>
        <v>43610</v>
      </c>
      <c r="B712" s="42">
        <f>IFERROR(AVERAGE(Data!B717), "  ")</f>
        <v>183</v>
      </c>
      <c r="C712" s="42">
        <f>IFERROR(AVERAGE(Data!C717), "  ")</f>
        <v>3</v>
      </c>
      <c r="D712" s="42">
        <f>IFERROR(AVERAGE(Data!D717), "  ")</f>
        <v>138</v>
      </c>
      <c r="E712" s="42">
        <f>IFERROR(AVERAGE(Data!E717), "  ")</f>
        <v>324</v>
      </c>
      <c r="F712" s="42">
        <f>IFERROR(AVERAGE(Data!F717), "  ")</f>
        <v>432</v>
      </c>
      <c r="G712" s="42">
        <f>IFERROR(AVERAGE(Data!G717), "  ")</f>
        <v>108</v>
      </c>
      <c r="H712" s="44">
        <f>IFERROR(AVERAGE(Data!H717), "  ")</f>
        <v>-0.15789473684210525</v>
      </c>
      <c r="I712" s="44">
        <f>IFERROR(AVERAGE(Data!I717), "  ")</f>
        <v>0.54285714285714282</v>
      </c>
      <c r="J712" s="42">
        <f>IFERROR(AVERAGE(Data!J717), "  ")</f>
        <v>114</v>
      </c>
      <c r="K712" s="44">
        <f>IFERROR(AVERAGE(Data!K717), "  ")</f>
        <v>-0.38896746817538896</v>
      </c>
      <c r="L712" s="45">
        <f>IFERROR(AVERAGE(Data!L717), "  ")</f>
        <v>568.33333333333337</v>
      </c>
    </row>
    <row r="713" spans="1:12" x14ac:dyDescent="0.2">
      <c r="A713" s="43">
        <f>Data!A718</f>
        <v>43617</v>
      </c>
      <c r="B713" s="42">
        <f>IFERROR(AVERAGE(Data!B718), "  ")</f>
        <v>0</v>
      </c>
      <c r="C713" s="42">
        <f>IFERROR(AVERAGE(Data!C718), "  ")</f>
        <v>0</v>
      </c>
      <c r="D713" s="42">
        <f>IFERROR(AVERAGE(Data!D718), "  ")</f>
        <v>153</v>
      </c>
      <c r="E713" s="42">
        <f>IFERROR(AVERAGE(Data!E718), "  ")</f>
        <v>153</v>
      </c>
      <c r="F713" s="42">
        <f>IFERROR(AVERAGE(Data!F718), "  ")</f>
        <v>443</v>
      </c>
      <c r="G713" s="42">
        <f>IFERROR(AVERAGE(Data!G718), "  ")</f>
        <v>290</v>
      </c>
      <c r="H713" s="44">
        <f>IFERROR(AVERAGE(Data!H718), "  ")</f>
        <v>2.5462962962962962E-2</v>
      </c>
      <c r="I713" s="44">
        <f>IFERROR(AVERAGE(Data!I718), "  ")</f>
        <v>-0.52777777777777779</v>
      </c>
      <c r="J713" s="42">
        <f>IFERROR(AVERAGE(Data!J718), "  ")</f>
        <v>-171</v>
      </c>
      <c r="K713" s="44">
        <f>IFERROR(AVERAGE(Data!K718), "  ")</f>
        <v>-0.34660766961651918</v>
      </c>
      <c r="L713" s="45">
        <f>IFERROR(AVERAGE(Data!L718), "  ")</f>
        <v>594.66666666666663</v>
      </c>
    </row>
    <row r="714" spans="1:12" x14ac:dyDescent="0.2">
      <c r="A714" s="43">
        <f>Data!A719</f>
        <v>43624</v>
      </c>
      <c r="B714" s="42">
        <f>IFERROR(AVERAGE(Data!B719), "  ")</f>
        <v>0</v>
      </c>
      <c r="C714" s="42">
        <f>IFERROR(AVERAGE(Data!C719), "  ")</f>
        <v>0</v>
      </c>
      <c r="D714" s="42">
        <f>IFERROR(AVERAGE(Data!D719), "  ")</f>
        <v>145</v>
      </c>
      <c r="E714" s="42">
        <f>IFERROR(AVERAGE(Data!E719), "  ")</f>
        <v>145</v>
      </c>
      <c r="F714" s="42">
        <f>IFERROR(AVERAGE(Data!F719), "  ")</f>
        <v>383</v>
      </c>
      <c r="G714" s="42">
        <f>IFERROR(AVERAGE(Data!G719), "  ")</f>
        <v>238</v>
      </c>
      <c r="H714" s="44">
        <f>IFERROR(AVERAGE(Data!H719), "  ")</f>
        <v>-0.13544018058690746</v>
      </c>
      <c r="I714" s="44">
        <f>IFERROR(AVERAGE(Data!I719), "  ")</f>
        <v>-5.2287581699346407E-2</v>
      </c>
      <c r="J714" s="42">
        <f>IFERROR(AVERAGE(Data!J719), "  ")</f>
        <v>-8</v>
      </c>
      <c r="K714" s="44">
        <f>IFERROR(AVERAGE(Data!K719), "  ")</f>
        <v>-0.5456702253855279</v>
      </c>
      <c r="L714" s="45">
        <f>IFERROR(AVERAGE(Data!L719), "  ")</f>
        <v>716.66666666666663</v>
      </c>
    </row>
    <row r="715" spans="1:12" x14ac:dyDescent="0.2">
      <c r="A715" s="43">
        <f>Data!A720</f>
        <v>43631</v>
      </c>
      <c r="B715" s="42">
        <f>IFERROR(AVERAGE(Data!B720), "  ")</f>
        <v>0</v>
      </c>
      <c r="C715" s="42">
        <f>IFERROR(AVERAGE(Data!C720), "  ")</f>
        <v>0</v>
      </c>
      <c r="D715" s="42">
        <f>IFERROR(AVERAGE(Data!D720), "  ")</f>
        <v>188</v>
      </c>
      <c r="E715" s="42">
        <f>IFERROR(AVERAGE(Data!E720), "  ")</f>
        <v>188</v>
      </c>
      <c r="F715" s="42">
        <f>IFERROR(AVERAGE(Data!F720), "  ")</f>
        <v>349</v>
      </c>
      <c r="G715" s="42">
        <f>IFERROR(AVERAGE(Data!G720), "  ")</f>
        <v>161</v>
      </c>
      <c r="H715" s="44">
        <f>IFERROR(AVERAGE(Data!H720), "  ")</f>
        <v>-8.877284595300261E-2</v>
      </c>
      <c r="I715" s="44">
        <f>IFERROR(AVERAGE(Data!I720), "  ")</f>
        <v>0.29655172413793102</v>
      </c>
      <c r="J715" s="42">
        <f>IFERROR(AVERAGE(Data!J720), "  ")</f>
        <v>43</v>
      </c>
      <c r="K715" s="44">
        <f>IFERROR(AVERAGE(Data!K720), "  ")</f>
        <v>-0.43252032520325201</v>
      </c>
      <c r="L715" s="45">
        <f>IFERROR(AVERAGE(Data!L720), "  ")</f>
        <v>632</v>
      </c>
    </row>
    <row r="716" spans="1:12" x14ac:dyDescent="0.2">
      <c r="A716" s="43">
        <f>Data!A721</f>
        <v>43638</v>
      </c>
      <c r="B716" s="42">
        <f>IFERROR(AVERAGE(Data!B721), "  ")</f>
        <v>0</v>
      </c>
      <c r="C716" s="42">
        <f>IFERROR(AVERAGE(Data!C721), "  ")</f>
        <v>3</v>
      </c>
      <c r="D716" s="42">
        <f>IFERROR(AVERAGE(Data!D721), "  ")</f>
        <v>88</v>
      </c>
      <c r="E716" s="42">
        <f>IFERROR(AVERAGE(Data!E721), "  ")</f>
        <v>91</v>
      </c>
      <c r="F716" s="42">
        <f>IFERROR(AVERAGE(Data!F721), "  ")</f>
        <v>265</v>
      </c>
      <c r="G716" s="42">
        <f>IFERROR(AVERAGE(Data!G721), "  ")</f>
        <v>174</v>
      </c>
      <c r="H716" s="44">
        <f>IFERROR(AVERAGE(Data!H721), "  ")</f>
        <v>-0.24068767908309455</v>
      </c>
      <c r="I716" s="44">
        <f>IFERROR(AVERAGE(Data!I721), "  ")</f>
        <v>-0.51595744680851063</v>
      </c>
      <c r="J716" s="42">
        <f>IFERROR(AVERAGE(Data!J721), "  ")</f>
        <v>-97</v>
      </c>
      <c r="K716" s="44">
        <f>IFERROR(AVERAGE(Data!K721), "  ")</f>
        <v>-0.6712158808933002</v>
      </c>
      <c r="L716" s="45">
        <f>IFERROR(AVERAGE(Data!L721), "  ")</f>
        <v>611.33333333333337</v>
      </c>
    </row>
    <row r="717" spans="1:12" x14ac:dyDescent="0.2">
      <c r="A717" s="43">
        <f>Data!A722</f>
        <v>43645</v>
      </c>
      <c r="B717" s="42">
        <f>IFERROR(AVERAGE(Data!B722), "  ")</f>
        <v>344</v>
      </c>
      <c r="C717" s="42">
        <f>IFERROR(AVERAGE(Data!C722), "  ")</f>
        <v>15</v>
      </c>
      <c r="D717" s="42">
        <f>IFERROR(AVERAGE(Data!D722), "  ")</f>
        <v>110</v>
      </c>
      <c r="E717" s="42">
        <f>IFERROR(AVERAGE(Data!E722), "  ")</f>
        <v>469</v>
      </c>
      <c r="F717" s="42">
        <f>IFERROR(AVERAGE(Data!F722), "  ")</f>
        <v>373</v>
      </c>
      <c r="G717" s="42">
        <f>IFERROR(AVERAGE(Data!G722), "  ")</f>
        <v>-96</v>
      </c>
      <c r="H717" s="44">
        <f>IFERROR(AVERAGE(Data!H722), "  ")</f>
        <v>0.40754716981132078</v>
      </c>
      <c r="I717" s="44">
        <f>IFERROR(AVERAGE(Data!I722), "  ")</f>
        <v>4.1538461538461542</v>
      </c>
      <c r="J717" s="42">
        <f>IFERROR(AVERAGE(Data!J722), "  ")</f>
        <v>378</v>
      </c>
      <c r="K717" s="44">
        <f>IFERROR(AVERAGE(Data!K722), "  ")</f>
        <v>-0.52784810126582282</v>
      </c>
      <c r="L717" s="45">
        <f>IFERROR(AVERAGE(Data!L722), "  ")</f>
        <v>656.33333333333337</v>
      </c>
    </row>
    <row r="718" spans="1:12" x14ac:dyDescent="0.2">
      <c r="A718" s="43">
        <f>Data!A723</f>
        <v>43652</v>
      </c>
      <c r="B718" s="42">
        <f>IFERROR(AVERAGE(Data!B723), "  ")</f>
        <v>330</v>
      </c>
      <c r="C718" s="42">
        <f>IFERROR(AVERAGE(Data!C723), "  ")</f>
        <v>20</v>
      </c>
      <c r="D718" s="42">
        <f>IFERROR(AVERAGE(Data!D723), "  ")</f>
        <v>139</v>
      </c>
      <c r="E718" s="42">
        <f>IFERROR(AVERAGE(Data!E723), "  ")</f>
        <v>489</v>
      </c>
      <c r="F718" s="42">
        <f>IFERROR(AVERAGE(Data!F723), "  ")</f>
        <v>434</v>
      </c>
      <c r="G718" s="42">
        <f>IFERROR(AVERAGE(Data!G723), "  ")</f>
        <v>-55</v>
      </c>
      <c r="H718" s="44">
        <f>IFERROR(AVERAGE(Data!H723), "  ")</f>
        <v>0.16353887399463807</v>
      </c>
      <c r="I718" s="44">
        <f>IFERROR(AVERAGE(Data!I723), "  ")</f>
        <v>4.2643923240938165E-2</v>
      </c>
      <c r="J718" s="42">
        <f>IFERROR(AVERAGE(Data!J723), "  ")</f>
        <v>20</v>
      </c>
      <c r="K718" s="44">
        <f>IFERROR(AVERAGE(Data!K723), "  ")</f>
        <v>-0.38873239436619716</v>
      </c>
      <c r="L718" s="45">
        <f>IFERROR(AVERAGE(Data!L723), "  ")</f>
        <v>711.66666666666663</v>
      </c>
    </row>
    <row r="719" spans="1:12" x14ac:dyDescent="0.2">
      <c r="A719" s="43">
        <f>Data!A724</f>
        <v>43659</v>
      </c>
      <c r="B719" s="42">
        <f>IFERROR(AVERAGE(Data!B724), "  ")</f>
        <v>326</v>
      </c>
      <c r="C719" s="42">
        <f>IFERROR(AVERAGE(Data!C724), "  ")</f>
        <v>10</v>
      </c>
      <c r="D719" s="42">
        <f>IFERROR(AVERAGE(Data!D724), "  ")</f>
        <v>92</v>
      </c>
      <c r="E719" s="42">
        <f>IFERROR(AVERAGE(Data!E724), "  ")</f>
        <v>428</v>
      </c>
      <c r="F719" s="42">
        <f>IFERROR(AVERAGE(Data!F724), "  ")</f>
        <v>299</v>
      </c>
      <c r="G719" s="42">
        <f>IFERROR(AVERAGE(Data!G724), "  ")</f>
        <v>-129</v>
      </c>
      <c r="H719" s="44">
        <f>IFERROR(AVERAGE(Data!H724), "  ")</f>
        <v>-0.31105990783410137</v>
      </c>
      <c r="I719" s="44">
        <f>IFERROR(AVERAGE(Data!I724), "  ")</f>
        <v>-0.12474437627811862</v>
      </c>
      <c r="J719" s="42">
        <f>IFERROR(AVERAGE(Data!J724), "  ")</f>
        <v>-61</v>
      </c>
      <c r="K719" s="44">
        <f>IFERROR(AVERAGE(Data!K724), "  ")</f>
        <v>-0.61469072164948457</v>
      </c>
      <c r="L719" s="45">
        <f>IFERROR(AVERAGE(Data!L724), "  ")</f>
        <v>704.66666666666663</v>
      </c>
    </row>
    <row r="720" spans="1:12" x14ac:dyDescent="0.2">
      <c r="A720" s="43">
        <f>Data!A725</f>
        <v>43666</v>
      </c>
      <c r="B720" s="42">
        <f>IFERROR(AVERAGE(Data!B725), "  ")</f>
        <v>417</v>
      </c>
      <c r="C720" s="42">
        <f>IFERROR(AVERAGE(Data!C725), "  ")</f>
        <v>8</v>
      </c>
      <c r="D720" s="42">
        <f>IFERROR(AVERAGE(Data!D725), "  ")</f>
        <v>65</v>
      </c>
      <c r="E720" s="42">
        <f>IFERROR(AVERAGE(Data!E725), "  ")</f>
        <v>490</v>
      </c>
      <c r="F720" s="42">
        <f>IFERROR(AVERAGE(Data!F725), "  ")</f>
        <v>415</v>
      </c>
      <c r="G720" s="42">
        <f>IFERROR(AVERAGE(Data!G725), "  ")</f>
        <v>-75</v>
      </c>
      <c r="H720" s="44">
        <f>IFERROR(AVERAGE(Data!H725), "  ")</f>
        <v>0.38795986622073581</v>
      </c>
      <c r="I720" s="44">
        <f>IFERROR(AVERAGE(Data!I725), "  ")</f>
        <v>0.14485981308411214</v>
      </c>
      <c r="J720" s="42">
        <f>IFERROR(AVERAGE(Data!J725), "  ")</f>
        <v>62</v>
      </c>
      <c r="K720" s="44">
        <f>IFERROR(AVERAGE(Data!K725), "  ")</f>
        <v>-0.48318804483188044</v>
      </c>
      <c r="L720" s="45">
        <f>IFERROR(AVERAGE(Data!L725), "  ")</f>
        <v>778</v>
      </c>
    </row>
    <row r="721" spans="1:12" x14ac:dyDescent="0.2">
      <c r="A721" s="43">
        <f>Data!A726</f>
        <v>43673</v>
      </c>
      <c r="B721" s="42">
        <f>IFERROR(AVERAGE(Data!B726), "  ")</f>
        <v>429</v>
      </c>
      <c r="C721" s="42">
        <f>IFERROR(AVERAGE(Data!C726), "  ")</f>
        <v>6</v>
      </c>
      <c r="D721" s="42">
        <f>IFERROR(AVERAGE(Data!D726), "  ")</f>
        <v>61</v>
      </c>
      <c r="E721" s="42">
        <f>IFERROR(AVERAGE(Data!E726), "  ")</f>
        <v>496</v>
      </c>
      <c r="F721" s="42">
        <f>IFERROR(AVERAGE(Data!F726), "  ")</f>
        <v>590</v>
      </c>
      <c r="G721" s="42">
        <f>IFERROR(AVERAGE(Data!G726), "  ")</f>
        <v>94</v>
      </c>
      <c r="H721" s="44">
        <f>IFERROR(AVERAGE(Data!H726), "  ")</f>
        <v>0.42168674698795183</v>
      </c>
      <c r="I721" s="44">
        <f>IFERROR(AVERAGE(Data!I726), "  ")</f>
        <v>1.2244897959183673E-2</v>
      </c>
      <c r="J721" s="42">
        <f>IFERROR(AVERAGE(Data!J726), "  ")</f>
        <v>6</v>
      </c>
      <c r="K721" s="44">
        <f>IFERROR(AVERAGE(Data!K726), "  ")</f>
        <v>-0.36078006500541709</v>
      </c>
      <c r="L721" s="45">
        <f>IFERROR(AVERAGE(Data!L726), "  ")</f>
        <v>761.33333333333337</v>
      </c>
    </row>
    <row r="722" spans="1:12" x14ac:dyDescent="0.2">
      <c r="A722" s="43">
        <f>Data!A727</f>
        <v>43680</v>
      </c>
      <c r="B722" s="42">
        <f>IFERROR(AVERAGE(Data!B727), "  ")</f>
        <v>383</v>
      </c>
      <c r="C722" s="42">
        <f>IFERROR(AVERAGE(Data!C727), "  ")</f>
        <v>5</v>
      </c>
      <c r="D722" s="42">
        <f>IFERROR(AVERAGE(Data!D727), "  ")</f>
        <v>54</v>
      </c>
      <c r="E722" s="42">
        <f>IFERROR(AVERAGE(Data!E727), "  ")</f>
        <v>442</v>
      </c>
      <c r="F722" s="42">
        <f>IFERROR(AVERAGE(Data!F727), "  ")</f>
        <v>660</v>
      </c>
      <c r="G722" s="42">
        <f>IFERROR(AVERAGE(Data!G727), "  ")</f>
        <v>218</v>
      </c>
      <c r="H722" s="44">
        <f>IFERROR(AVERAGE(Data!H727), "  ")</f>
        <v>0.11864406779661017</v>
      </c>
      <c r="I722" s="44">
        <f>IFERROR(AVERAGE(Data!I727), "  ")</f>
        <v>-0.10887096774193548</v>
      </c>
      <c r="J722" s="42">
        <f>IFERROR(AVERAGE(Data!J727), "  ")</f>
        <v>-54</v>
      </c>
      <c r="K722" s="44">
        <f>IFERROR(AVERAGE(Data!K727), "  ")</f>
        <v>-9.7127222982216141E-2</v>
      </c>
      <c r="L722" s="45">
        <f>IFERROR(AVERAGE(Data!L727), "  ")</f>
        <v>713.66666666666663</v>
      </c>
    </row>
    <row r="723" spans="1:12" x14ac:dyDescent="0.2">
      <c r="A723" s="43">
        <f>Data!A728</f>
        <v>43687</v>
      </c>
      <c r="B723" s="42">
        <f>IFERROR(AVERAGE(Data!B728), "  ")</f>
        <v>321</v>
      </c>
      <c r="C723" s="42">
        <f>IFERROR(AVERAGE(Data!C728), "  ")</f>
        <v>5</v>
      </c>
      <c r="D723" s="42">
        <f>IFERROR(AVERAGE(Data!D728), "  ")</f>
        <v>42</v>
      </c>
      <c r="E723" s="42">
        <f>IFERROR(AVERAGE(Data!E728), "  ")</f>
        <v>368</v>
      </c>
      <c r="F723" s="42">
        <f>IFERROR(AVERAGE(Data!F728), "  ")</f>
        <v>705</v>
      </c>
      <c r="G723" s="42">
        <f>IFERROR(AVERAGE(Data!G728), "  ")</f>
        <v>337</v>
      </c>
      <c r="H723" s="44">
        <f>IFERROR(AVERAGE(Data!H728), "  ")</f>
        <v>6.8181818181818177E-2</v>
      </c>
      <c r="I723" s="44">
        <f>IFERROR(AVERAGE(Data!I728), "  ")</f>
        <v>-0.167420814479638</v>
      </c>
      <c r="J723" s="42">
        <f>IFERROR(AVERAGE(Data!J728), "  ")</f>
        <v>-74</v>
      </c>
      <c r="K723" s="44">
        <f>IFERROR(AVERAGE(Data!K728), "  ")</f>
        <v>5.6971514242878558E-2</v>
      </c>
      <c r="L723" s="45">
        <f>IFERROR(AVERAGE(Data!L728), "  ")</f>
        <v>638</v>
      </c>
    </row>
    <row r="724" spans="1:12" x14ac:dyDescent="0.2">
      <c r="A724" s="43">
        <f>Data!A729</f>
        <v>43694</v>
      </c>
      <c r="B724" s="42">
        <f>IFERROR(AVERAGE(Data!B729), "  ")</f>
        <v>297</v>
      </c>
      <c r="C724" s="42">
        <f>IFERROR(AVERAGE(Data!C729), "  ")</f>
        <v>12</v>
      </c>
      <c r="D724" s="42">
        <f>IFERROR(AVERAGE(Data!D729), "  ")</f>
        <v>39</v>
      </c>
      <c r="E724" s="42">
        <f>IFERROR(AVERAGE(Data!E729), "  ")</f>
        <v>348</v>
      </c>
      <c r="F724" s="42">
        <f>IFERROR(AVERAGE(Data!F729), "  ")</f>
        <v>682</v>
      </c>
      <c r="G724" s="42">
        <f>IFERROR(AVERAGE(Data!G729), "  ")</f>
        <v>334</v>
      </c>
      <c r="H724" s="44">
        <f>IFERROR(AVERAGE(Data!H729), "  ")</f>
        <v>-3.2624113475177303E-2</v>
      </c>
      <c r="I724" s="44">
        <f>IFERROR(AVERAGE(Data!I729), "  ")</f>
        <v>-5.434782608695652E-2</v>
      </c>
      <c r="J724" s="42">
        <f>IFERROR(AVERAGE(Data!J729), "  ")</f>
        <v>-20</v>
      </c>
      <c r="K724" s="44">
        <f>IFERROR(AVERAGE(Data!K729), "  ")</f>
        <v>-6.7031463748290013E-2</v>
      </c>
      <c r="L724" s="45">
        <f>IFERROR(AVERAGE(Data!L729), "  ")</f>
        <v>750.66666666666663</v>
      </c>
    </row>
    <row r="725" spans="1:12" x14ac:dyDescent="0.2">
      <c r="A725" s="43">
        <f>Data!A730</f>
        <v>43701</v>
      </c>
      <c r="B725" s="42">
        <f>IFERROR(AVERAGE(Data!B730), "  ")</f>
        <v>504</v>
      </c>
      <c r="C725" s="42">
        <f>IFERROR(AVERAGE(Data!C730), "  ")</f>
        <v>23</v>
      </c>
      <c r="D725" s="42">
        <f>IFERROR(AVERAGE(Data!D730), "  ")</f>
        <v>37</v>
      </c>
      <c r="E725" s="42">
        <f>IFERROR(AVERAGE(Data!E730), "  ")</f>
        <v>564</v>
      </c>
      <c r="F725" s="42">
        <f>IFERROR(AVERAGE(Data!F730), "  ")</f>
        <v>599</v>
      </c>
      <c r="G725" s="42">
        <f>IFERROR(AVERAGE(Data!G730), "  ")</f>
        <v>35</v>
      </c>
      <c r="H725" s="44">
        <f>IFERROR(AVERAGE(Data!H730), "  ")</f>
        <v>-0.1217008797653959</v>
      </c>
      <c r="I725" s="44">
        <f>IFERROR(AVERAGE(Data!I730), "  ")</f>
        <v>0.62068965517241381</v>
      </c>
      <c r="J725" s="42">
        <f>IFERROR(AVERAGE(Data!J730), "  ")</f>
        <v>216</v>
      </c>
      <c r="K725" s="44">
        <f>IFERROR(AVERAGE(Data!K730), "  ")</f>
        <v>-0.20133333333333334</v>
      </c>
      <c r="L725" s="45">
        <f>IFERROR(AVERAGE(Data!L730), "  ")</f>
        <v>775.66666666666663</v>
      </c>
    </row>
    <row r="726" spans="1:12" x14ac:dyDescent="0.2">
      <c r="A726" s="43">
        <f>Data!A731</f>
        <v>43708</v>
      </c>
      <c r="B726" s="42">
        <f>IFERROR(AVERAGE(Data!B731), "  ")</f>
        <v>429</v>
      </c>
      <c r="C726" s="42">
        <f>IFERROR(AVERAGE(Data!C731), "  ")</f>
        <v>8</v>
      </c>
      <c r="D726" s="42">
        <f>IFERROR(AVERAGE(Data!D731), "  ")</f>
        <v>28</v>
      </c>
      <c r="E726" s="42">
        <f>IFERROR(AVERAGE(Data!E731), "  ")</f>
        <v>465</v>
      </c>
      <c r="F726" s="42">
        <f>IFERROR(AVERAGE(Data!F731), "  ")</f>
        <v>642</v>
      </c>
      <c r="G726" s="42">
        <f>IFERROR(AVERAGE(Data!G731), "  ")</f>
        <v>177</v>
      </c>
      <c r="H726" s="44">
        <f>IFERROR(AVERAGE(Data!H731), "  ")</f>
        <v>7.178631051752922E-2</v>
      </c>
      <c r="I726" s="44">
        <f>IFERROR(AVERAGE(Data!I731), "  ")</f>
        <v>-0.17553191489361702</v>
      </c>
      <c r="J726" s="42">
        <f>IFERROR(AVERAGE(Data!J731), "  ")</f>
        <v>-99</v>
      </c>
      <c r="K726" s="44">
        <f>IFERROR(AVERAGE(Data!K731), "  ")</f>
        <v>-0.11203319502074689</v>
      </c>
      <c r="L726" s="45">
        <f>IFERROR(AVERAGE(Data!L731), "  ")</f>
        <v>790.33333333333337</v>
      </c>
    </row>
    <row r="727" spans="1:12" x14ac:dyDescent="0.2">
      <c r="A727" s="43">
        <f>Data!A732</f>
        <v>43715</v>
      </c>
      <c r="B727" s="42">
        <f>IFERROR(AVERAGE(Data!B732), "  ")</f>
        <v>176</v>
      </c>
      <c r="C727" s="42">
        <f>IFERROR(AVERAGE(Data!C732), "  ")</f>
        <v>3</v>
      </c>
      <c r="D727" s="42">
        <f>IFERROR(AVERAGE(Data!D732), "  ")</f>
        <v>42</v>
      </c>
      <c r="E727" s="42">
        <f>IFERROR(AVERAGE(Data!E732), "  ")</f>
        <v>221</v>
      </c>
      <c r="F727" s="42">
        <f>IFERROR(AVERAGE(Data!F732), "  ")</f>
        <v>679</v>
      </c>
      <c r="G727" s="42">
        <f>IFERROR(AVERAGE(Data!G732), "  ")</f>
        <v>458</v>
      </c>
      <c r="H727" s="44">
        <f>IFERROR(AVERAGE(Data!H732), "  ")</f>
        <v>5.763239875389408E-2</v>
      </c>
      <c r="I727" s="44">
        <f>IFERROR(AVERAGE(Data!I732), "  ")</f>
        <v>-0.52473118279569897</v>
      </c>
      <c r="J727" s="42">
        <f>IFERROR(AVERAGE(Data!J732), "  ")</f>
        <v>-244</v>
      </c>
      <c r="K727" s="44">
        <f>IFERROR(AVERAGE(Data!K732), "  ")</f>
        <v>-5.9556786703601108E-2</v>
      </c>
      <c r="L727" s="45">
        <f>IFERROR(AVERAGE(Data!L732), "  ")</f>
        <v>825.66666666666663</v>
      </c>
    </row>
    <row r="728" spans="1:12" x14ac:dyDescent="0.2">
      <c r="A728" s="43">
        <f>Data!A733</f>
        <v>43722</v>
      </c>
      <c r="B728" s="42">
        <f>IFERROR(AVERAGE(Data!B733), "  ")</f>
        <v>435</v>
      </c>
      <c r="C728" s="42">
        <f>IFERROR(AVERAGE(Data!C733), "  ")</f>
        <v>3</v>
      </c>
      <c r="D728" s="42">
        <f>IFERROR(AVERAGE(Data!D733), "  ")</f>
        <v>35</v>
      </c>
      <c r="E728" s="42">
        <f>IFERROR(AVERAGE(Data!E733), "  ")</f>
        <v>473</v>
      </c>
      <c r="F728" s="42">
        <f>IFERROR(AVERAGE(Data!F733), "  ")</f>
        <v>374</v>
      </c>
      <c r="G728" s="42">
        <f>IFERROR(AVERAGE(Data!G733), "  ")</f>
        <v>-99</v>
      </c>
      <c r="H728" s="44">
        <f>IFERROR(AVERAGE(Data!H733), "  ")</f>
        <v>-0.44918998527245951</v>
      </c>
      <c r="I728" s="44">
        <f>IFERROR(AVERAGE(Data!I733), "  ")</f>
        <v>1.1402714932126696</v>
      </c>
      <c r="J728" s="42">
        <f>IFERROR(AVERAGE(Data!J733), "  ")</f>
        <v>252</v>
      </c>
      <c r="K728" s="44">
        <f>IFERROR(AVERAGE(Data!K733), "  ")</f>
        <v>-0.51928020565552702</v>
      </c>
      <c r="L728" s="45">
        <f>IFERROR(AVERAGE(Data!L733), "  ")</f>
        <v>742</v>
      </c>
    </row>
    <row r="729" spans="1:12" x14ac:dyDescent="0.2">
      <c r="A729" s="43">
        <f>Data!A734</f>
        <v>43729</v>
      </c>
      <c r="B729" s="42">
        <f>IFERROR(AVERAGE(Data!B734), "  ")</f>
        <v>288</v>
      </c>
      <c r="C729" s="42">
        <f>IFERROR(AVERAGE(Data!C734), "  ")</f>
        <v>6</v>
      </c>
      <c r="D729" s="42">
        <f>IFERROR(AVERAGE(Data!D734), "  ")</f>
        <v>33</v>
      </c>
      <c r="E729" s="42">
        <f>IFERROR(AVERAGE(Data!E734), "  ")</f>
        <v>327</v>
      </c>
      <c r="F729" s="42">
        <f>IFERROR(AVERAGE(Data!F734), "  ")</f>
        <v>629</v>
      </c>
      <c r="G729" s="42">
        <f>IFERROR(AVERAGE(Data!G734), "  ")</f>
        <v>302</v>
      </c>
      <c r="H729" s="44">
        <f>IFERROR(AVERAGE(Data!H734), "  ")</f>
        <v>0.68181818181818177</v>
      </c>
      <c r="I729" s="44">
        <f>IFERROR(AVERAGE(Data!I734), "  ")</f>
        <v>-0.30866807610993657</v>
      </c>
      <c r="J729" s="42">
        <f>IFERROR(AVERAGE(Data!J734), "  ")</f>
        <v>-146</v>
      </c>
      <c r="K729" s="44">
        <f>IFERROR(AVERAGE(Data!K734), "  ")</f>
        <v>-0.15683646112600536</v>
      </c>
      <c r="L729" s="45">
        <f>IFERROR(AVERAGE(Data!L734), "  ")</f>
        <v>746.66666666666663</v>
      </c>
    </row>
    <row r="730" spans="1:12" x14ac:dyDescent="0.2">
      <c r="A730" s="43">
        <f>Data!A735</f>
        <v>43736</v>
      </c>
      <c r="B730" s="42">
        <f>IFERROR(AVERAGE(Data!B735), "  ")</f>
        <v>301</v>
      </c>
      <c r="C730" s="42">
        <f>IFERROR(AVERAGE(Data!C735), "  ")</f>
        <v>9</v>
      </c>
      <c r="D730" s="42">
        <f>IFERROR(AVERAGE(Data!D735), "  ")</f>
        <v>45</v>
      </c>
      <c r="E730" s="42">
        <f>IFERROR(AVERAGE(Data!E735), "  ")</f>
        <v>355</v>
      </c>
      <c r="F730" s="42">
        <f>IFERROR(AVERAGE(Data!F735), "  ")</f>
        <v>681</v>
      </c>
      <c r="G730" s="42">
        <f>IFERROR(AVERAGE(Data!G735), "  ")</f>
        <v>326</v>
      </c>
      <c r="H730" s="44">
        <f>IFERROR(AVERAGE(Data!H735), "  ")</f>
        <v>8.2670906200317959E-2</v>
      </c>
      <c r="I730" s="44">
        <f>IFERROR(AVERAGE(Data!I735), "  ")</f>
        <v>8.5626911314984705E-2</v>
      </c>
      <c r="J730" s="42">
        <f>IFERROR(AVERAGE(Data!J735), "  ")</f>
        <v>28</v>
      </c>
      <c r="K730" s="44">
        <f>IFERROR(AVERAGE(Data!K735), "  ")</f>
        <v>-0.10158311345646438</v>
      </c>
      <c r="L730" s="45">
        <f>IFERROR(AVERAGE(Data!L735), "  ")</f>
        <v>766.66666666666663</v>
      </c>
    </row>
    <row r="731" spans="1:12" x14ac:dyDescent="0.2">
      <c r="A731" s="43">
        <f>Data!A736</f>
        <v>43743</v>
      </c>
      <c r="B731" s="42">
        <f>IFERROR(AVERAGE(Data!B736), "  ")</f>
        <v>218</v>
      </c>
      <c r="C731" s="42">
        <f>IFERROR(AVERAGE(Data!C736), "  ")</f>
        <v>13</v>
      </c>
      <c r="D731" s="42">
        <f>IFERROR(AVERAGE(Data!D736), "  ")</f>
        <v>83</v>
      </c>
      <c r="E731" s="42">
        <f>IFERROR(AVERAGE(Data!E736), "  ")</f>
        <v>314</v>
      </c>
      <c r="F731" s="42">
        <f>IFERROR(AVERAGE(Data!F736), "  ")</f>
        <v>669</v>
      </c>
      <c r="G731" s="42">
        <f>IFERROR(AVERAGE(Data!G736), "  ")</f>
        <v>355</v>
      </c>
      <c r="H731" s="44">
        <f>IFERROR(AVERAGE(Data!H736), "  ")</f>
        <v>-1.7621145374449341E-2</v>
      </c>
      <c r="I731" s="44">
        <f>IFERROR(AVERAGE(Data!I736), "  ")</f>
        <v>-0.11549295774647887</v>
      </c>
      <c r="J731" s="42">
        <f>IFERROR(AVERAGE(Data!J736), "  ")</f>
        <v>-41</v>
      </c>
      <c r="K731" s="44">
        <f>IFERROR(AVERAGE(Data!K736), "  ")</f>
        <v>-0.16375000000000001</v>
      </c>
      <c r="L731" s="45">
        <f>IFERROR(AVERAGE(Data!L736), "  ")</f>
        <v>797</v>
      </c>
    </row>
    <row r="732" spans="1:12" x14ac:dyDescent="0.2">
      <c r="A732" s="43">
        <f>Data!A737</f>
        <v>43750</v>
      </c>
      <c r="B732" s="42">
        <f>IFERROR(AVERAGE(Data!B737), "  ")</f>
        <v>187</v>
      </c>
      <c r="C732" s="42">
        <f>IFERROR(AVERAGE(Data!C737), "  ")</f>
        <v>51</v>
      </c>
      <c r="D732" s="42">
        <f>IFERROR(AVERAGE(Data!D737), "  ")</f>
        <v>89</v>
      </c>
      <c r="E732" s="42">
        <f>IFERROR(AVERAGE(Data!E737), "  ")</f>
        <v>327</v>
      </c>
      <c r="F732" s="42">
        <f>IFERROR(AVERAGE(Data!F737), "  ")</f>
        <v>736</v>
      </c>
      <c r="G732" s="42">
        <f>IFERROR(AVERAGE(Data!G737), "  ")</f>
        <v>409</v>
      </c>
      <c r="H732" s="44">
        <f>IFERROR(AVERAGE(Data!H737), "  ")</f>
        <v>0.10014947683109118</v>
      </c>
      <c r="I732" s="44">
        <f>IFERROR(AVERAGE(Data!I737), "  ")</f>
        <v>4.1401273885350316E-2</v>
      </c>
      <c r="J732" s="42">
        <f>IFERROR(AVERAGE(Data!J737), "  ")</f>
        <v>13</v>
      </c>
      <c r="K732" s="44">
        <f>IFERROR(AVERAGE(Data!K737), "  ")</f>
        <v>-0.17857142857142858</v>
      </c>
      <c r="L732" s="45">
        <f>IFERROR(AVERAGE(Data!L737), "  ")</f>
        <v>847</v>
      </c>
    </row>
    <row r="733" spans="1:12" x14ac:dyDescent="0.2">
      <c r="A733" s="43">
        <f>Data!A738</f>
        <v>43757</v>
      </c>
      <c r="B733" s="42">
        <f>IFERROR(AVERAGE(Data!B738), "  ")</f>
        <v>101</v>
      </c>
      <c r="C733" s="42">
        <f>IFERROR(AVERAGE(Data!C738), "  ")</f>
        <v>26</v>
      </c>
      <c r="D733" s="42">
        <f>IFERROR(AVERAGE(Data!D738), "  ")</f>
        <v>69</v>
      </c>
      <c r="E733" s="42">
        <f>IFERROR(AVERAGE(Data!E738), "  ")</f>
        <v>196</v>
      </c>
      <c r="F733" s="42">
        <f>IFERROR(AVERAGE(Data!F738), "  ")</f>
        <v>804</v>
      </c>
      <c r="G733" s="42">
        <f>IFERROR(AVERAGE(Data!G738), "  ")</f>
        <v>608</v>
      </c>
      <c r="H733" s="44">
        <f>IFERROR(AVERAGE(Data!H738), "  ")</f>
        <v>9.2391304347826081E-2</v>
      </c>
      <c r="I733" s="44">
        <f>IFERROR(AVERAGE(Data!I738), "  ")</f>
        <v>-0.40061162079510704</v>
      </c>
      <c r="J733" s="42">
        <f>IFERROR(AVERAGE(Data!J738), "  ")</f>
        <v>-131</v>
      </c>
      <c r="K733" s="44">
        <f>IFERROR(AVERAGE(Data!K738), "  ")</f>
        <v>-3.3653846153846152E-2</v>
      </c>
      <c r="L733" s="45">
        <f>IFERROR(AVERAGE(Data!L738), "  ")</f>
        <v>937.66666666666663</v>
      </c>
    </row>
    <row r="734" spans="1:12" x14ac:dyDescent="0.2">
      <c r="A734" s="43">
        <f>Data!A739</f>
        <v>43764</v>
      </c>
      <c r="B734" s="42">
        <f>IFERROR(AVERAGE(Data!B739), "  ")</f>
        <v>265</v>
      </c>
      <c r="C734" s="42">
        <f>IFERROR(AVERAGE(Data!C739), "  ")</f>
        <v>55</v>
      </c>
      <c r="D734" s="42">
        <f>IFERROR(AVERAGE(Data!D739), "  ")</f>
        <v>94</v>
      </c>
      <c r="E734" s="42">
        <f>IFERROR(AVERAGE(Data!E739), "  ")</f>
        <v>414</v>
      </c>
      <c r="F734" s="42">
        <f>IFERROR(AVERAGE(Data!F739), "  ")</f>
        <v>605</v>
      </c>
      <c r="G734" s="42">
        <f>IFERROR(AVERAGE(Data!G739), "  ")</f>
        <v>191</v>
      </c>
      <c r="H734" s="44">
        <f>IFERROR(AVERAGE(Data!H739), "  ")</f>
        <v>-0.24751243781094528</v>
      </c>
      <c r="I734" s="44">
        <f>IFERROR(AVERAGE(Data!I739), "  ")</f>
        <v>1.1122448979591837</v>
      </c>
      <c r="J734" s="42">
        <f>IFERROR(AVERAGE(Data!J739), "  ")</f>
        <v>218</v>
      </c>
      <c r="K734" s="44">
        <f>IFERROR(AVERAGE(Data!K739), "  ")</f>
        <v>-0.11420204978038068</v>
      </c>
      <c r="L734" s="45">
        <f>IFERROR(AVERAGE(Data!L739), "  ")</f>
        <v>841</v>
      </c>
    </row>
    <row r="735" spans="1:12" x14ac:dyDescent="0.2">
      <c r="A735" s="43">
        <f>Data!A740</f>
        <v>43771</v>
      </c>
      <c r="B735" s="42">
        <f>IFERROR(AVERAGE(Data!B740), "  ")</f>
        <v>292</v>
      </c>
      <c r="C735" s="42">
        <f>IFERROR(AVERAGE(Data!C740), "  ")</f>
        <v>27</v>
      </c>
      <c r="D735" s="42">
        <f>IFERROR(AVERAGE(Data!D740), "  ")</f>
        <v>97</v>
      </c>
      <c r="E735" s="42">
        <f>IFERROR(AVERAGE(Data!E740), "  ")</f>
        <v>416</v>
      </c>
      <c r="F735" s="42">
        <f>IFERROR(AVERAGE(Data!F740), "  ")</f>
        <v>621</v>
      </c>
      <c r="G735" s="42">
        <f>IFERROR(AVERAGE(Data!G740), "  ")</f>
        <v>205</v>
      </c>
      <c r="H735" s="44">
        <f>IFERROR(AVERAGE(Data!H740), "  ")</f>
        <v>2.6446280991735537E-2</v>
      </c>
      <c r="I735" s="44">
        <f>IFERROR(AVERAGE(Data!I740), "  ")</f>
        <v>4.830917874396135E-3</v>
      </c>
      <c r="J735" s="42">
        <f>IFERROR(AVERAGE(Data!J740), "  ")</f>
        <v>2</v>
      </c>
      <c r="K735" s="44">
        <f>IFERROR(AVERAGE(Data!K740), "  ")</f>
        <v>-0.29271070615034167</v>
      </c>
      <c r="L735" s="45">
        <f>IFERROR(AVERAGE(Data!L740), "  ")</f>
        <v>992.33333333333337</v>
      </c>
    </row>
    <row r="736" spans="1:12" x14ac:dyDescent="0.2">
      <c r="A736" s="43">
        <f>Data!A741</f>
        <v>43778</v>
      </c>
      <c r="B736" s="42">
        <f>IFERROR(AVERAGE(Data!B741), "  ")</f>
        <v>355</v>
      </c>
      <c r="C736" s="42">
        <f>IFERROR(AVERAGE(Data!C741), "  ")</f>
        <v>17</v>
      </c>
      <c r="D736" s="42">
        <f>IFERROR(AVERAGE(Data!D741), "  ")</f>
        <v>96</v>
      </c>
      <c r="E736" s="42">
        <f>IFERROR(AVERAGE(Data!E741), "  ")</f>
        <v>468</v>
      </c>
      <c r="F736" s="42">
        <f>IFERROR(AVERAGE(Data!F741), "  ")</f>
        <v>780</v>
      </c>
      <c r="G736" s="42">
        <f>IFERROR(AVERAGE(Data!G741), "  ")</f>
        <v>312</v>
      </c>
      <c r="H736" s="44">
        <f>IFERROR(AVERAGE(Data!H741), "  ")</f>
        <v>0.2560386473429952</v>
      </c>
      <c r="I736" s="44">
        <f>IFERROR(AVERAGE(Data!I741), "  ")</f>
        <v>0.125</v>
      </c>
      <c r="J736" s="42">
        <f>IFERROR(AVERAGE(Data!J741), "  ")</f>
        <v>52</v>
      </c>
      <c r="K736" s="44">
        <f>IFERROR(AVERAGE(Data!K741), "  ")</f>
        <v>1.8276762402088774E-2</v>
      </c>
      <c r="L736" s="45">
        <f>IFERROR(AVERAGE(Data!L741), "  ")</f>
        <v>904.33333333333337</v>
      </c>
    </row>
    <row r="737" spans="1:12" x14ac:dyDescent="0.2">
      <c r="A737" s="43">
        <f>Data!A742</f>
        <v>43785</v>
      </c>
      <c r="B737" s="42">
        <f>IFERROR(AVERAGE(Data!B742), "  ")</f>
        <v>410</v>
      </c>
      <c r="C737" s="42">
        <f>IFERROR(AVERAGE(Data!C742), "  ")</f>
        <v>34</v>
      </c>
      <c r="D737" s="42">
        <f>IFERROR(AVERAGE(Data!D742), "  ")</f>
        <v>118</v>
      </c>
      <c r="E737" s="42">
        <f>IFERROR(AVERAGE(Data!E742), "  ")</f>
        <v>562</v>
      </c>
      <c r="F737" s="42">
        <f>IFERROR(AVERAGE(Data!F742), "  ")</f>
        <v>734</v>
      </c>
      <c r="G737" s="42">
        <f>IFERROR(AVERAGE(Data!G742), "  ")</f>
        <v>172</v>
      </c>
      <c r="H737" s="44">
        <f>IFERROR(AVERAGE(Data!H742), "  ")</f>
        <v>-5.8974358974358973E-2</v>
      </c>
      <c r="I737" s="44">
        <f>IFERROR(AVERAGE(Data!I742), "  ")</f>
        <v>0.20085470085470086</v>
      </c>
      <c r="J737" s="42">
        <f>IFERROR(AVERAGE(Data!J742), "  ")</f>
        <v>94</v>
      </c>
      <c r="K737" s="44">
        <f>IFERROR(AVERAGE(Data!K742), "  ")</f>
        <v>-7.672955974842767E-2</v>
      </c>
      <c r="L737" s="45">
        <f>IFERROR(AVERAGE(Data!L742), "  ")</f>
        <v>962</v>
      </c>
    </row>
    <row r="738" spans="1:12" x14ac:dyDescent="0.2">
      <c r="A738" s="43">
        <f>Data!A743</f>
        <v>43792</v>
      </c>
      <c r="B738" s="42">
        <f>IFERROR(AVERAGE(Data!B743), "  ")</f>
        <v>506</v>
      </c>
      <c r="C738" s="42">
        <f>IFERROR(AVERAGE(Data!C743), "  ")</f>
        <v>18</v>
      </c>
      <c r="D738" s="42">
        <f>IFERROR(AVERAGE(Data!D743), "  ")</f>
        <v>98</v>
      </c>
      <c r="E738" s="42">
        <f>IFERROR(AVERAGE(Data!E743), "  ")</f>
        <v>622</v>
      </c>
      <c r="F738" s="42">
        <f>IFERROR(AVERAGE(Data!F743), "  ")</f>
        <v>855</v>
      </c>
      <c r="G738" s="42">
        <f>IFERROR(AVERAGE(Data!G743), "  ")</f>
        <v>233</v>
      </c>
      <c r="H738" s="44">
        <f>IFERROR(AVERAGE(Data!H743), "  ")</f>
        <v>0.16485013623978201</v>
      </c>
      <c r="I738" s="44">
        <f>IFERROR(AVERAGE(Data!I743), "  ")</f>
        <v>0.10676156583629894</v>
      </c>
      <c r="J738" s="42">
        <f>IFERROR(AVERAGE(Data!J743), "  ")</f>
        <v>60</v>
      </c>
      <c r="K738" s="44">
        <f>IFERROR(AVERAGE(Data!K743), "  ")</f>
        <v>-1.0416666666666666E-2</v>
      </c>
      <c r="L738" s="45">
        <f>IFERROR(AVERAGE(Data!L743), "  ")</f>
        <v>924</v>
      </c>
    </row>
    <row r="739" spans="1:12" x14ac:dyDescent="0.2">
      <c r="A739" s="43">
        <f>Data!A744</f>
        <v>43799</v>
      </c>
      <c r="B739" s="42">
        <f>IFERROR(AVERAGE(Data!B744), "  ")</f>
        <v>582</v>
      </c>
      <c r="C739" s="42">
        <f>IFERROR(AVERAGE(Data!C744), "  ")</f>
        <v>38</v>
      </c>
      <c r="D739" s="42">
        <f>IFERROR(AVERAGE(Data!D744), "  ")</f>
        <v>74</v>
      </c>
      <c r="E739" s="42">
        <f>IFERROR(AVERAGE(Data!E744), "  ")</f>
        <v>694</v>
      </c>
      <c r="F739" s="42">
        <f>IFERROR(AVERAGE(Data!F744), "  ")</f>
        <v>672</v>
      </c>
      <c r="G739" s="42">
        <f>IFERROR(AVERAGE(Data!G744), "  ")</f>
        <v>-22</v>
      </c>
      <c r="H739" s="44">
        <f>IFERROR(AVERAGE(Data!H744), "  ")</f>
        <v>-0.21403508771929824</v>
      </c>
      <c r="I739" s="44">
        <f>IFERROR(AVERAGE(Data!I744), "  ")</f>
        <v>0.1157556270096463</v>
      </c>
      <c r="J739" s="42">
        <f>IFERROR(AVERAGE(Data!J744), "  ")</f>
        <v>72</v>
      </c>
      <c r="K739" s="44">
        <f>IFERROR(AVERAGE(Data!K744), "  ")</f>
        <v>-0.2558139534883721</v>
      </c>
      <c r="L739" s="45">
        <f>IFERROR(AVERAGE(Data!L744), "  ")</f>
        <v>924.33333333333337</v>
      </c>
    </row>
    <row r="740" spans="1:12" x14ac:dyDescent="0.2">
      <c r="A740" s="43">
        <f>Data!A745</f>
        <v>43806</v>
      </c>
      <c r="B740" s="42">
        <f>IFERROR(AVERAGE(Data!B745), "  ")</f>
        <v>604</v>
      </c>
      <c r="C740" s="42">
        <f>IFERROR(AVERAGE(Data!C745), "  ")</f>
        <v>48</v>
      </c>
      <c r="D740" s="42">
        <f>IFERROR(AVERAGE(Data!D745), "  ")</f>
        <v>61</v>
      </c>
      <c r="E740" s="42">
        <f>IFERROR(AVERAGE(Data!E745), "  ")</f>
        <v>713</v>
      </c>
      <c r="F740" s="42">
        <f>IFERROR(AVERAGE(Data!F745), "  ")</f>
        <v>876</v>
      </c>
      <c r="G740" s="42">
        <f>IFERROR(AVERAGE(Data!G745), "  ")</f>
        <v>163</v>
      </c>
      <c r="H740" s="44">
        <f>IFERROR(AVERAGE(Data!H745), "  ")</f>
        <v>0.30357142857142855</v>
      </c>
      <c r="I740" s="44">
        <f>IFERROR(AVERAGE(Data!I745), "  ")</f>
        <v>2.7377521613832854E-2</v>
      </c>
      <c r="J740" s="42">
        <f>IFERROR(AVERAGE(Data!J745), "  ")</f>
        <v>19</v>
      </c>
      <c r="K740" s="44">
        <f>IFERROR(AVERAGE(Data!K745), "  ")</f>
        <v>0.10886075949367088</v>
      </c>
      <c r="L740" s="45">
        <f>IFERROR(AVERAGE(Data!L745), "  ")</f>
        <v>796.33333333333337</v>
      </c>
    </row>
    <row r="741" spans="1:12" x14ac:dyDescent="0.2">
      <c r="A741" s="43">
        <f>Data!A746</f>
        <v>43813</v>
      </c>
      <c r="B741" s="42">
        <f>IFERROR(AVERAGE(Data!B746), "  ")</f>
        <v>325</v>
      </c>
      <c r="C741" s="42">
        <f>IFERROR(AVERAGE(Data!C746), "  ")</f>
        <v>23</v>
      </c>
      <c r="D741" s="42">
        <f>IFERROR(AVERAGE(Data!D746), "  ")</f>
        <v>105</v>
      </c>
      <c r="E741" s="42">
        <f>IFERROR(AVERAGE(Data!E746), "  ")</f>
        <v>453</v>
      </c>
      <c r="F741" s="42">
        <f>IFERROR(AVERAGE(Data!F746), "  ")</f>
        <v>685</v>
      </c>
      <c r="G741" s="42">
        <f>IFERROR(AVERAGE(Data!G746), "  ")</f>
        <v>232</v>
      </c>
      <c r="H741" s="44">
        <f>IFERROR(AVERAGE(Data!H746), "  ")</f>
        <v>-0.2180365296803653</v>
      </c>
      <c r="I741" s="44">
        <f>IFERROR(AVERAGE(Data!I746), "  ")</f>
        <v>-0.36465638148667601</v>
      </c>
      <c r="J741" s="42">
        <f>IFERROR(AVERAGE(Data!J746), "  ")</f>
        <v>-260</v>
      </c>
      <c r="K741" s="44">
        <f>IFERROR(AVERAGE(Data!K746), "  ")</f>
        <v>-0.16053921568627452</v>
      </c>
      <c r="L741" s="45">
        <f>IFERROR(AVERAGE(Data!L746), "  ")</f>
        <v>868</v>
      </c>
    </row>
    <row r="742" spans="1:12" x14ac:dyDescent="0.2">
      <c r="A742" s="43">
        <f>Data!A747</f>
        <v>43820</v>
      </c>
      <c r="B742" s="42">
        <f>IFERROR(AVERAGE(Data!B747), "  ")</f>
        <v>147</v>
      </c>
      <c r="C742" s="42">
        <f>IFERROR(AVERAGE(Data!C747), "  ")</f>
        <v>52</v>
      </c>
      <c r="D742" s="42">
        <f>IFERROR(AVERAGE(Data!D747), "  ")</f>
        <v>119</v>
      </c>
      <c r="E742" s="42">
        <f>IFERROR(AVERAGE(Data!E747), "  ")</f>
        <v>318</v>
      </c>
      <c r="F742" s="42">
        <f>IFERROR(AVERAGE(Data!F747), "  ")</f>
        <v>706</v>
      </c>
      <c r="G742" s="42">
        <f>IFERROR(AVERAGE(Data!G747), "  ")</f>
        <v>388</v>
      </c>
      <c r="H742" s="44">
        <f>IFERROR(AVERAGE(Data!H747), "  ")</f>
        <v>3.0656934306569343E-2</v>
      </c>
      <c r="I742" s="44">
        <f>IFERROR(AVERAGE(Data!I747), "  ")</f>
        <v>-0.29801324503311261</v>
      </c>
      <c r="J742" s="42">
        <f>IFERROR(AVERAGE(Data!J747), "  ")</f>
        <v>-135</v>
      </c>
      <c r="K742" s="44">
        <f>IFERROR(AVERAGE(Data!K747), "  ")</f>
        <v>-0.11306532663316583</v>
      </c>
      <c r="L742" s="45">
        <f>IFERROR(AVERAGE(Data!L747), "  ")</f>
        <v>818.66666666666663</v>
      </c>
    </row>
    <row r="743" spans="1:12" x14ac:dyDescent="0.2">
      <c r="A743" s="43">
        <f>Data!A748</f>
        <v>43827</v>
      </c>
      <c r="B743" s="42">
        <f>IFERROR(AVERAGE(Data!B748), "  ")</f>
        <v>223</v>
      </c>
      <c r="C743" s="42">
        <f>IFERROR(AVERAGE(Data!C748), "  ")</f>
        <v>12</v>
      </c>
      <c r="D743" s="42">
        <f>IFERROR(AVERAGE(Data!D748), "  ")</f>
        <v>143</v>
      </c>
      <c r="E743" s="42">
        <f>IFERROR(AVERAGE(Data!E748), "  ")</f>
        <v>378</v>
      </c>
      <c r="F743" s="42">
        <f>IFERROR(AVERAGE(Data!F748), "  ")</f>
        <v>586</v>
      </c>
      <c r="G743" s="42">
        <f>IFERROR(AVERAGE(Data!G748), "  ")</f>
        <v>208</v>
      </c>
      <c r="H743" s="44">
        <f>IFERROR(AVERAGE(Data!H748), "  ")</f>
        <v>-0.16997167138810199</v>
      </c>
      <c r="I743" s="44">
        <f>IFERROR(AVERAGE(Data!I748), "  ")</f>
        <v>0.18867924528301888</v>
      </c>
      <c r="J743" s="42">
        <f>IFERROR(AVERAGE(Data!J748), "  ")</f>
        <v>60</v>
      </c>
      <c r="K743" s="44">
        <f>IFERROR(AVERAGE(Data!K748), "  ")</f>
        <v>-0.11077389984825493</v>
      </c>
      <c r="L743" s="45">
        <f>IFERROR(AVERAGE(Data!L748), "  ")</f>
        <v>790.33333333333337</v>
      </c>
    </row>
    <row r="744" spans="1:12" x14ac:dyDescent="0.2">
      <c r="A744" s="43"/>
      <c r="B744" s="42" t="str">
        <f>IFERROR(AVERAGE(Data!#REF!), "  ")</f>
        <v xml:space="preserve">  </v>
      </c>
      <c r="C744" s="42" t="str">
        <f>IFERROR(AVERAGE(Data!#REF!), "  ")</f>
        <v xml:space="preserve">  </v>
      </c>
      <c r="D744" s="42" t="str">
        <f>IFERROR(AVERAGE(Data!#REF!), "  ")</f>
        <v xml:space="preserve">  </v>
      </c>
      <c r="E744" s="42" t="str">
        <f>IFERROR(AVERAGE(Data!#REF!), "  ")</f>
        <v xml:space="preserve">  </v>
      </c>
      <c r="F744" s="42" t="str">
        <f>IFERROR(AVERAGE(Data!#REF!), "  ")</f>
        <v xml:space="preserve">  </v>
      </c>
      <c r="G744" s="42" t="str">
        <f>IFERROR(AVERAGE(Data!#REF!), "  ")</f>
        <v xml:space="preserve">  </v>
      </c>
      <c r="H744" s="44" t="str">
        <f>IFERROR(AVERAGE(Data!#REF!), "  ")</f>
        <v xml:space="preserve">  </v>
      </c>
      <c r="I744" s="44" t="str">
        <f>IFERROR(AVERAGE(Data!#REF!), "  ")</f>
        <v xml:space="preserve">  </v>
      </c>
      <c r="J744" s="42" t="str">
        <f>IFERROR(AVERAGE(Data!#REF!), "  ")</f>
        <v xml:space="preserve">  </v>
      </c>
      <c r="K744" s="44" t="str">
        <f>IFERROR(AVERAGE(Data!#REF!), "  ")</f>
        <v xml:space="preserve">  </v>
      </c>
      <c r="L744" s="45" t="str">
        <f>IFERROR(AVERAGE(Data!#REF!), "  ")</f>
        <v xml:space="preserve">  </v>
      </c>
    </row>
    <row r="745" spans="1:12" x14ac:dyDescent="0.2">
      <c r="A745" s="43"/>
      <c r="B745" s="42">
        <f>IFERROR(AVERAGE(Data!B749), "  ")</f>
        <v>217</v>
      </c>
      <c r="C745" s="42">
        <f>IFERROR(AVERAGE(Data!C749), "  ")</f>
        <v>50</v>
      </c>
      <c r="D745" s="42">
        <f>IFERROR(AVERAGE(Data!D749), "  ")</f>
        <v>86</v>
      </c>
      <c r="E745" s="42">
        <f>IFERROR(AVERAGE(Data!E749), "  ")</f>
        <v>353</v>
      </c>
      <c r="F745" s="42">
        <f>IFERROR(AVERAGE(Data!F749), "  ")</f>
        <v>688</v>
      </c>
      <c r="G745" s="42">
        <f>IFERROR(AVERAGE(Data!G749), "  ")</f>
        <v>335</v>
      </c>
      <c r="H745" s="44">
        <f>IFERROR(AVERAGE(Data!H749), "  ")</f>
        <v>0.17406143344709898</v>
      </c>
      <c r="I745" s="44">
        <f>IFERROR(AVERAGE(Data!I749), "  ")</f>
        <v>-6.6137566137566134E-2</v>
      </c>
      <c r="J745" s="42">
        <f>IFERROR(AVERAGE(Data!J749), "  ")</f>
        <v>-25</v>
      </c>
      <c r="K745" s="44">
        <f>IFERROR(AVERAGE(Data!K749), "  ")</f>
        <v>0.15824915824915825</v>
      </c>
      <c r="L745" s="45">
        <f>IFERROR(AVERAGE(Data!L749), "  ")</f>
        <v>694.33333333333337</v>
      </c>
    </row>
    <row r="746" spans="1:12" x14ac:dyDescent="0.2">
      <c r="A746" s="43"/>
      <c r="B746" s="42">
        <f>IFERROR(AVERAGE(Data!B750), "  ")</f>
        <v>161</v>
      </c>
      <c r="C746" s="42">
        <f>IFERROR(AVERAGE(Data!C750), "  ")</f>
        <v>26</v>
      </c>
      <c r="D746" s="42">
        <f>IFERROR(AVERAGE(Data!D750), "  ")</f>
        <v>138</v>
      </c>
      <c r="E746" s="42">
        <f>IFERROR(AVERAGE(Data!E750), "  ")</f>
        <v>325</v>
      </c>
      <c r="F746" s="42">
        <f>IFERROR(AVERAGE(Data!F750), "  ")</f>
        <v>807</v>
      </c>
      <c r="G746" s="42">
        <f>IFERROR(AVERAGE(Data!G750), "  ")</f>
        <v>482</v>
      </c>
      <c r="H746" s="44">
        <f>IFERROR(AVERAGE(Data!H750), "  ")</f>
        <v>0.17296511627906977</v>
      </c>
      <c r="I746" s="44">
        <f>IFERROR(AVERAGE(Data!I750), "  ")</f>
        <v>-7.9320113314447591E-2</v>
      </c>
      <c r="J746" s="42">
        <f>IFERROR(AVERAGE(Data!J750), "  ")</f>
        <v>-28</v>
      </c>
      <c r="K746" s="44">
        <f>IFERROR(AVERAGE(Data!K750), "  ")</f>
        <v>1.6372795969773299E-2</v>
      </c>
      <c r="L746" s="45">
        <f>IFERROR(AVERAGE(Data!L750), "  ")</f>
        <v>791.66666666666663</v>
      </c>
    </row>
    <row r="747" spans="1:12" x14ac:dyDescent="0.2">
      <c r="A747" s="43"/>
      <c r="B747" s="42">
        <f>IFERROR(AVERAGE(Data!B751), "  ")</f>
        <v>211</v>
      </c>
      <c r="C747" s="42">
        <f>IFERROR(AVERAGE(Data!C751), "  ")</f>
        <v>14</v>
      </c>
      <c r="D747" s="42">
        <f>IFERROR(AVERAGE(Data!D751), "  ")</f>
        <v>127</v>
      </c>
      <c r="E747" s="42">
        <f>IFERROR(AVERAGE(Data!E751), "  ")</f>
        <v>352</v>
      </c>
      <c r="F747" s="42">
        <f>IFERROR(AVERAGE(Data!F751), "  ")</f>
        <v>621</v>
      </c>
      <c r="G747" s="42">
        <f>IFERROR(AVERAGE(Data!G751), "  ")</f>
        <v>269</v>
      </c>
      <c r="H747" s="44">
        <f>IFERROR(AVERAGE(Data!H751), "  ")</f>
        <v>-0.23048327137546468</v>
      </c>
      <c r="I747" s="44">
        <f>IFERROR(AVERAGE(Data!I751), "  ")</f>
        <v>8.3076923076923076E-2</v>
      </c>
      <c r="J747" s="42">
        <f>IFERROR(AVERAGE(Data!J751), "  ")</f>
        <v>27</v>
      </c>
      <c r="K747" s="44">
        <f>IFERROR(AVERAGE(Data!K751), "  ")</f>
        <v>-0.11412268188302425</v>
      </c>
      <c r="L747" s="45">
        <f>IFERROR(AVERAGE(Data!L751), "  ")</f>
        <v>707.66666666666663</v>
      </c>
    </row>
    <row r="748" spans="1:12" x14ac:dyDescent="0.2">
      <c r="A748" s="43"/>
      <c r="B748" s="42">
        <f>IFERROR(AVERAGE(Data!B752), "  ")</f>
        <v>124</v>
      </c>
      <c r="C748" s="42">
        <f>IFERROR(AVERAGE(Data!C752), "  ")</f>
        <v>19</v>
      </c>
      <c r="D748" s="42">
        <f>IFERROR(AVERAGE(Data!D752), "  ")</f>
        <v>143</v>
      </c>
      <c r="E748" s="42">
        <f>IFERROR(AVERAGE(Data!E752), "  ")</f>
        <v>286</v>
      </c>
      <c r="F748" s="42">
        <f>IFERROR(AVERAGE(Data!F752), "  ")</f>
        <v>705</v>
      </c>
      <c r="G748" s="42">
        <f>IFERROR(AVERAGE(Data!G752), "  ")</f>
        <v>419</v>
      </c>
      <c r="H748" s="44">
        <f>IFERROR(AVERAGE(Data!H752), "  ")</f>
        <v>0.13526570048309178</v>
      </c>
      <c r="I748" s="44">
        <f>IFERROR(AVERAGE(Data!I752), "  ")</f>
        <v>-0.1875</v>
      </c>
      <c r="J748" s="42">
        <f>IFERROR(AVERAGE(Data!J752), "  ")</f>
        <v>-66</v>
      </c>
      <c r="K748" s="44">
        <f>IFERROR(AVERAGE(Data!K752), "  ")</f>
        <v>-0.14129110840438489</v>
      </c>
      <c r="L748" s="45">
        <f>IFERROR(AVERAGE(Data!L752), "  ")</f>
        <v>869.66666666666663</v>
      </c>
    </row>
    <row r="749" spans="1:12" x14ac:dyDescent="0.2">
      <c r="A749" s="43"/>
      <c r="B749" s="42">
        <f>IFERROR(AVERAGE(Data!B753), "  ")</f>
        <v>193</v>
      </c>
      <c r="C749" s="42">
        <f>IFERROR(AVERAGE(Data!C753), "  ")</f>
        <v>25</v>
      </c>
      <c r="D749" s="42">
        <f>IFERROR(AVERAGE(Data!D753), "  ")</f>
        <v>117</v>
      </c>
      <c r="E749" s="42">
        <f>IFERROR(AVERAGE(Data!E753), "  ")</f>
        <v>335</v>
      </c>
      <c r="F749" s="42">
        <f>IFERROR(AVERAGE(Data!F753), "  ")</f>
        <v>582</v>
      </c>
      <c r="G749" s="42">
        <f>IFERROR(AVERAGE(Data!G753), "  ")</f>
        <v>247</v>
      </c>
      <c r="H749" s="44">
        <f>IFERROR(AVERAGE(Data!H753), "  ")</f>
        <v>-0.17446808510638298</v>
      </c>
      <c r="I749" s="44">
        <f>IFERROR(AVERAGE(Data!I753), "  ")</f>
        <v>0.17132867132867133</v>
      </c>
      <c r="J749" s="42">
        <f>IFERROR(AVERAGE(Data!J753), "  ")</f>
        <v>49</v>
      </c>
      <c r="K749" s="44">
        <f>IFERROR(AVERAGE(Data!K753), "  ")</f>
        <v>-0.32716763005780347</v>
      </c>
      <c r="L749" s="45">
        <f>IFERROR(AVERAGE(Data!L753), "  ")</f>
        <v>908.66666666666663</v>
      </c>
    </row>
    <row r="750" spans="1:12" x14ac:dyDescent="0.2">
      <c r="A750" s="43"/>
      <c r="B750" s="42">
        <f>IFERROR(AVERAGE(Data!B754), "  ")</f>
        <v>165</v>
      </c>
      <c r="C750" s="42">
        <f>IFERROR(AVERAGE(Data!C754), "  ")</f>
        <v>18</v>
      </c>
      <c r="D750" s="42">
        <f>IFERROR(AVERAGE(Data!D754), "  ")</f>
        <v>115</v>
      </c>
      <c r="E750" s="42">
        <f>IFERROR(AVERAGE(Data!E754), "  ")</f>
        <v>298</v>
      </c>
      <c r="F750" s="42">
        <f>IFERROR(AVERAGE(Data!F754), "  ")</f>
        <v>611</v>
      </c>
      <c r="G750" s="42">
        <f>IFERROR(AVERAGE(Data!G754), "  ")</f>
        <v>313</v>
      </c>
      <c r="H750" s="44">
        <f>IFERROR(AVERAGE(Data!H754), "  ")</f>
        <v>4.9828178694158079E-2</v>
      </c>
      <c r="I750" s="44">
        <f>IFERROR(AVERAGE(Data!I754), "  ")</f>
        <v>-0.11044776119402985</v>
      </c>
      <c r="J750" s="42">
        <f>IFERROR(AVERAGE(Data!J754), "  ")</f>
        <v>-37</v>
      </c>
      <c r="K750" s="44">
        <f>IFERROR(AVERAGE(Data!K754), "  ")</f>
        <v>-9.7244732576985422E-3</v>
      </c>
      <c r="L750" s="45">
        <f>IFERROR(AVERAGE(Data!L754), "  ")</f>
        <v>769.33333333333337</v>
      </c>
    </row>
    <row r="751" spans="1:12" x14ac:dyDescent="0.2">
      <c r="A751" s="43"/>
      <c r="B751" s="42">
        <f>IFERROR(AVERAGE(Data!B755), "  ")</f>
        <v>208</v>
      </c>
      <c r="C751" s="42">
        <f>IFERROR(AVERAGE(Data!C755), "  ")</f>
        <v>53</v>
      </c>
      <c r="D751" s="42">
        <f>IFERROR(AVERAGE(Data!D755), "  ")</f>
        <v>113</v>
      </c>
      <c r="E751" s="42">
        <f>IFERROR(AVERAGE(Data!E755), "  ")</f>
        <v>374</v>
      </c>
      <c r="F751" s="42">
        <f>IFERROR(AVERAGE(Data!F755), "  ")</f>
        <v>659</v>
      </c>
      <c r="G751" s="42">
        <f>IFERROR(AVERAGE(Data!G755), "  ")</f>
        <v>285</v>
      </c>
      <c r="H751" s="44">
        <f>IFERROR(AVERAGE(Data!H755), "  ")</f>
        <v>7.855973813420622E-2</v>
      </c>
      <c r="I751" s="44">
        <f>IFERROR(AVERAGE(Data!I755), "  ")</f>
        <v>0.25503355704697989</v>
      </c>
      <c r="J751" s="42">
        <f>IFERROR(AVERAGE(Data!J755), "  ")</f>
        <v>76</v>
      </c>
      <c r="K751" s="44">
        <f>IFERROR(AVERAGE(Data!K755), "  ")</f>
        <v>-0.11424731182795698</v>
      </c>
      <c r="L751" s="45">
        <f>IFERROR(AVERAGE(Data!L755), "  ")</f>
        <v>725.66666666666663</v>
      </c>
    </row>
    <row r="752" spans="1:12" x14ac:dyDescent="0.2">
      <c r="A752" s="43"/>
      <c r="B752" s="42">
        <f>IFERROR(AVERAGE(Data!B756), "  ")</f>
        <v>159</v>
      </c>
      <c r="C752" s="42">
        <f>IFERROR(AVERAGE(Data!C756), "  ")</f>
        <v>39</v>
      </c>
      <c r="D752" s="42">
        <f>IFERROR(AVERAGE(Data!D756), "  ")</f>
        <v>55</v>
      </c>
      <c r="E752" s="42">
        <f>IFERROR(AVERAGE(Data!E756), "  ")</f>
        <v>253</v>
      </c>
      <c r="F752" s="42">
        <f>IFERROR(AVERAGE(Data!F756), "  ")</f>
        <v>524</v>
      </c>
      <c r="G752" s="42">
        <f>IFERROR(AVERAGE(Data!G756), "  ")</f>
        <v>271</v>
      </c>
      <c r="H752" s="44">
        <f>IFERROR(AVERAGE(Data!H756), "  ")</f>
        <v>-0.20485584218512898</v>
      </c>
      <c r="I752" s="44">
        <f>IFERROR(AVERAGE(Data!I756), "  ")</f>
        <v>-0.3235294117647059</v>
      </c>
      <c r="J752" s="42">
        <f>IFERROR(AVERAGE(Data!J756), "  ")</f>
        <v>-121</v>
      </c>
      <c r="K752" s="44">
        <f>IFERROR(AVERAGE(Data!K756), "  ")</f>
        <v>-0.17219589257503951</v>
      </c>
      <c r="L752" s="45">
        <f>IFERROR(AVERAGE(Data!L756), "  ")</f>
        <v>749.33333333333337</v>
      </c>
    </row>
    <row r="753" spans="1:12" x14ac:dyDescent="0.2">
      <c r="A753" s="43"/>
      <c r="B753" s="42">
        <f>IFERROR(AVERAGE(Data!B757), "  ")</f>
        <v>159</v>
      </c>
      <c r="C753" s="42">
        <f>IFERROR(AVERAGE(Data!C757), "  ")</f>
        <v>39</v>
      </c>
      <c r="D753" s="42">
        <f>IFERROR(AVERAGE(Data!D757), "  ")</f>
        <v>55</v>
      </c>
      <c r="E753" s="42">
        <f>IFERROR(AVERAGE(Data!E757), "  ")</f>
        <v>263</v>
      </c>
      <c r="F753" s="42">
        <f>IFERROR(AVERAGE(Data!F757), "  ")</f>
        <v>479</v>
      </c>
      <c r="G753" s="42">
        <f>IFERROR(AVERAGE(Data!G757), "  ")</f>
        <v>216</v>
      </c>
      <c r="H753" s="44">
        <f>IFERROR(AVERAGE(Data!H757), "  ")</f>
        <v>-8.5877862595419852E-2</v>
      </c>
      <c r="I753" s="44">
        <f>IFERROR(AVERAGE(Data!I757), "  ")</f>
        <v>3.9525691699604744E-2</v>
      </c>
      <c r="J753" s="42">
        <f>IFERROR(AVERAGE(Data!J757), "  ")</f>
        <v>10</v>
      </c>
      <c r="K753" s="44">
        <f>IFERROR(AVERAGE(Data!K757), "  ")</f>
        <v>-6.6276803118908378E-2</v>
      </c>
      <c r="L753" s="45">
        <f>IFERROR(AVERAGE(Data!L757), "  ")</f>
        <v>695.66666666666663</v>
      </c>
    </row>
    <row r="754" spans="1:12" x14ac:dyDescent="0.2">
      <c r="A754" s="43"/>
      <c r="B754" s="42">
        <f>IFERROR(AVERAGE(Data!B758), "  ")</f>
        <v>201</v>
      </c>
      <c r="C754" s="42">
        <f>IFERROR(AVERAGE(Data!C758), "  ")</f>
        <v>25</v>
      </c>
      <c r="D754" s="42">
        <f>IFERROR(AVERAGE(Data!D758), "  ")</f>
        <v>105</v>
      </c>
      <c r="E754" s="42">
        <f>IFERROR(AVERAGE(Data!E758), "  ")</f>
        <v>331</v>
      </c>
      <c r="F754" s="42">
        <f>IFERROR(AVERAGE(Data!F758), "  ")</f>
        <v>526</v>
      </c>
      <c r="G754" s="42">
        <f>IFERROR(AVERAGE(Data!G758), "  ")</f>
        <v>195</v>
      </c>
      <c r="H754" s="44">
        <f>IFERROR(AVERAGE(Data!H758), "  ")</f>
        <v>9.8121085594989568E-2</v>
      </c>
      <c r="I754" s="44">
        <f>IFERROR(AVERAGE(Data!I758), "  ")</f>
        <v>0.2585551330798479</v>
      </c>
      <c r="J754" s="42">
        <f>IFERROR(AVERAGE(Data!J758), "  ")</f>
        <v>68</v>
      </c>
      <c r="K754" s="44">
        <f>IFERROR(AVERAGE(Data!K758), "  ")</f>
        <v>8.2304526748971193E-2</v>
      </c>
      <c r="L754" s="45">
        <f>IFERROR(AVERAGE(Data!L758), "  ")</f>
        <v>667.66666666666663</v>
      </c>
    </row>
    <row r="755" spans="1:12" x14ac:dyDescent="0.2">
      <c r="A755" s="43"/>
      <c r="B755" s="42">
        <f>IFERROR(AVERAGE(Data!B759), "  ")</f>
        <v>212</v>
      </c>
      <c r="C755" s="42">
        <f>IFERROR(AVERAGE(Data!C759), "  ")</f>
        <v>31</v>
      </c>
      <c r="D755" s="42">
        <f>IFERROR(AVERAGE(Data!D759), "  ")</f>
        <v>103</v>
      </c>
      <c r="E755" s="42">
        <f>IFERROR(AVERAGE(Data!E759), "  ")</f>
        <v>346</v>
      </c>
      <c r="F755" s="42">
        <f>IFERROR(AVERAGE(Data!F759), "  ")</f>
        <v>562</v>
      </c>
      <c r="G755" s="42">
        <f>IFERROR(AVERAGE(Data!G759), "  ")</f>
        <v>216</v>
      </c>
      <c r="H755" s="44">
        <f>IFERROR(AVERAGE(Data!H759), "  ")</f>
        <v>6.8441064638783272E-2</v>
      </c>
      <c r="I755" s="44">
        <f>IFERROR(AVERAGE(Data!I759), "  ")</f>
        <v>4.5317220543806644E-2</v>
      </c>
      <c r="J755" s="42">
        <f>IFERROR(AVERAGE(Data!J759), "  ")</f>
        <v>15</v>
      </c>
      <c r="K755" s="44">
        <f>IFERROR(AVERAGE(Data!K759), "  ")</f>
        <v>0.20600858369098712</v>
      </c>
      <c r="L755" s="45">
        <f>IFERROR(AVERAGE(Data!L759), "  ")</f>
        <v>564</v>
      </c>
    </row>
    <row r="756" spans="1:12" x14ac:dyDescent="0.2">
      <c r="A756" s="43"/>
      <c r="B756" s="42">
        <f>IFERROR(AVERAGE(Data!B760), "  ")</f>
        <v>173</v>
      </c>
      <c r="C756" s="42">
        <f>IFERROR(AVERAGE(Data!C760), "  ")</f>
        <v>24</v>
      </c>
      <c r="D756" s="42">
        <f>IFERROR(AVERAGE(Data!D760), "  ")</f>
        <v>76</v>
      </c>
      <c r="E756" s="42">
        <f>IFERROR(AVERAGE(Data!E760), "  ")</f>
        <v>273</v>
      </c>
      <c r="F756" s="42">
        <f>IFERROR(AVERAGE(Data!F760), "  ")</f>
        <v>561</v>
      </c>
      <c r="G756" s="42">
        <f>IFERROR(AVERAGE(Data!G760), "  ")</f>
        <v>288</v>
      </c>
      <c r="H756" s="44">
        <f>IFERROR(AVERAGE(Data!H760), "  ")</f>
        <v>-1.7793594306049821E-3</v>
      </c>
      <c r="I756" s="44">
        <f>IFERROR(AVERAGE(Data!I760), "  ")</f>
        <v>-0.21098265895953758</v>
      </c>
      <c r="J756" s="42">
        <f>IFERROR(AVERAGE(Data!J760), "  ")</f>
        <v>-73</v>
      </c>
      <c r="K756" s="44">
        <f>IFERROR(AVERAGE(Data!K760), "  ")</f>
        <v>-0.12888198757763975</v>
      </c>
      <c r="L756" s="45">
        <f>IFERROR(AVERAGE(Data!L760), "  ")</f>
        <v>665.66666666666663</v>
      </c>
    </row>
    <row r="757" spans="1:12" x14ac:dyDescent="0.2">
      <c r="A757" s="43"/>
      <c r="B757" s="42">
        <f>IFERROR(AVERAGE(Data!B761), "  ")</f>
        <v>160</v>
      </c>
      <c r="C757" s="42">
        <f>IFERROR(AVERAGE(Data!C761), "  ")</f>
        <v>22</v>
      </c>
      <c r="D757" s="42">
        <f>IFERROR(AVERAGE(Data!D761), "  ")</f>
        <v>128</v>
      </c>
      <c r="E757" s="42">
        <f>IFERROR(AVERAGE(Data!E761), "  ")</f>
        <v>310</v>
      </c>
      <c r="F757" s="42">
        <f>IFERROR(AVERAGE(Data!F761), "  ")</f>
        <v>588</v>
      </c>
      <c r="G757" s="42">
        <f>IFERROR(AVERAGE(Data!G761), "  ")</f>
        <v>278</v>
      </c>
      <c r="H757" s="44">
        <f>IFERROR(AVERAGE(Data!H761), "  ")</f>
        <v>4.8128342245989303E-2</v>
      </c>
      <c r="I757" s="44">
        <f>IFERROR(AVERAGE(Data!I761), "  ")</f>
        <v>0.13553113553113552</v>
      </c>
      <c r="J757" s="42">
        <f>IFERROR(AVERAGE(Data!J761), "  ")</f>
        <v>37</v>
      </c>
      <c r="K757" s="44">
        <f>IFERROR(AVERAGE(Data!K761), "  ")</f>
        <v>-9.9540581929555894E-2</v>
      </c>
      <c r="L757" s="45">
        <f>IFERROR(AVERAGE(Data!L761), "  ")</f>
        <v>701</v>
      </c>
    </row>
    <row r="758" spans="1:12" x14ac:dyDescent="0.2">
      <c r="A758" s="43"/>
      <c r="B758" s="42">
        <f>IFERROR(AVERAGE(Data!B762), "  ")</f>
        <v>191</v>
      </c>
      <c r="C758" s="42">
        <f>IFERROR(AVERAGE(Data!C762), "  ")</f>
        <v>22</v>
      </c>
      <c r="D758" s="42">
        <f>IFERROR(AVERAGE(Data!D762), "  ")</f>
        <v>54</v>
      </c>
      <c r="E758" s="42">
        <f>IFERROR(AVERAGE(Data!E762), "  ")</f>
        <v>267</v>
      </c>
      <c r="F758" s="42">
        <f>IFERROR(AVERAGE(Data!F762), "  ")</f>
        <v>634</v>
      </c>
      <c r="G758" s="42">
        <f>IFERROR(AVERAGE(Data!G762), "  ")</f>
        <v>367</v>
      </c>
      <c r="H758" s="44">
        <f>IFERROR(AVERAGE(Data!H762), "  ")</f>
        <v>7.8231292517006806E-2</v>
      </c>
      <c r="I758" s="44">
        <f>IFERROR(AVERAGE(Data!I762), "  ")</f>
        <v>-0.13870967741935483</v>
      </c>
      <c r="J758" s="42">
        <f>IFERROR(AVERAGE(Data!J762), "  ")</f>
        <v>-43</v>
      </c>
      <c r="K758" s="44">
        <f>IFERROR(AVERAGE(Data!K762), "  ")</f>
        <v>0.35181236673773986</v>
      </c>
      <c r="L758" s="45">
        <f>IFERROR(AVERAGE(Data!L762), "  ")</f>
        <v>638.33333333333337</v>
      </c>
    </row>
    <row r="759" spans="1:12" x14ac:dyDescent="0.2">
      <c r="A759" s="43"/>
      <c r="B759" s="42">
        <f>IFERROR(AVERAGE(Data!B763), "  ")</f>
        <v>324</v>
      </c>
      <c r="C759" s="42">
        <f>IFERROR(AVERAGE(Data!C763), "  ")</f>
        <v>36</v>
      </c>
      <c r="D759" s="42">
        <f>IFERROR(AVERAGE(Data!D763), "  ")</f>
        <v>67</v>
      </c>
      <c r="E759" s="42">
        <f>IFERROR(AVERAGE(Data!E763), "  ")</f>
        <v>427</v>
      </c>
      <c r="F759" s="42">
        <f>IFERROR(AVERAGE(Data!F763), "  ")</f>
        <v>549</v>
      </c>
      <c r="G759" s="42">
        <f>IFERROR(AVERAGE(Data!G763), "  ")</f>
        <v>122</v>
      </c>
      <c r="H759" s="44">
        <f>IFERROR(AVERAGE(Data!H763), "  ")</f>
        <v>-0.13406940063091483</v>
      </c>
      <c r="I759" s="44">
        <f>IFERROR(AVERAGE(Data!I763), "  ")</f>
        <v>0.59925093632958804</v>
      </c>
      <c r="J759" s="42">
        <f>IFERROR(AVERAGE(Data!J763), "  ")</f>
        <v>160</v>
      </c>
      <c r="K759" s="44">
        <f>IFERROR(AVERAGE(Data!K763), "  ")</f>
        <v>4.7709923664122141E-2</v>
      </c>
      <c r="L759" s="45">
        <f>IFERROR(AVERAGE(Data!L763), "  ")</f>
        <v>640.33333333333337</v>
      </c>
    </row>
    <row r="760" spans="1:12" x14ac:dyDescent="0.2">
      <c r="A760" s="43"/>
      <c r="B760" s="42">
        <f>IFERROR(AVERAGE(Data!B764), "  ")</f>
        <v>306</v>
      </c>
      <c r="C760" s="42">
        <f>IFERROR(AVERAGE(Data!C764), "  ")</f>
        <v>12</v>
      </c>
      <c r="D760" s="42">
        <f>IFERROR(AVERAGE(Data!D764), "  ")</f>
        <v>95</v>
      </c>
      <c r="E760" s="42">
        <f>IFERROR(AVERAGE(Data!E764), "  ")</f>
        <v>413</v>
      </c>
      <c r="F760" s="42">
        <f>IFERROR(AVERAGE(Data!F764), "  ")</f>
        <v>528</v>
      </c>
      <c r="G760" s="42">
        <f>IFERROR(AVERAGE(Data!G764), "  ")</f>
        <v>115</v>
      </c>
      <c r="H760" s="44">
        <f>IFERROR(AVERAGE(Data!H764), "  ")</f>
        <v>-3.825136612021858E-2</v>
      </c>
      <c r="I760" s="44">
        <f>IFERROR(AVERAGE(Data!I764), "  ")</f>
        <v>-3.2786885245901641E-2</v>
      </c>
      <c r="J760" s="42">
        <f>IFERROR(AVERAGE(Data!J764), "  ")</f>
        <v>-14</v>
      </c>
      <c r="K760" s="44">
        <f>IFERROR(AVERAGE(Data!K764), "  ")</f>
        <v>-0.14146341463414633</v>
      </c>
      <c r="L760" s="45">
        <f>IFERROR(AVERAGE(Data!L764), "  ")</f>
        <v>646.66666666666663</v>
      </c>
    </row>
    <row r="761" spans="1:12" x14ac:dyDescent="0.2">
      <c r="A761" s="43"/>
      <c r="B761" s="42">
        <f>IFERROR(AVERAGE(Data!B765), "  ")</f>
        <v>327</v>
      </c>
      <c r="C761" s="42">
        <f>IFERROR(AVERAGE(Data!C765), "  ")</f>
        <v>32</v>
      </c>
      <c r="D761" s="42">
        <f>IFERROR(AVERAGE(Data!D765), "  ")</f>
        <v>60</v>
      </c>
      <c r="E761" s="42">
        <f>IFERROR(AVERAGE(Data!E765), "  ")</f>
        <v>419</v>
      </c>
      <c r="F761" s="42">
        <f>IFERROR(AVERAGE(Data!F765), "  ")</f>
        <v>613</v>
      </c>
      <c r="G761" s="42">
        <f>IFERROR(AVERAGE(Data!G765), "  ")</f>
        <v>194</v>
      </c>
      <c r="H761" s="44">
        <f>IFERROR(AVERAGE(Data!H765), "  ")</f>
        <v>0.16098484848484848</v>
      </c>
      <c r="I761" s="44">
        <f>IFERROR(AVERAGE(Data!I765), "  ")</f>
        <v>1.4527845036319613E-2</v>
      </c>
      <c r="J761" s="42">
        <f>IFERROR(AVERAGE(Data!J765), "  ")</f>
        <v>6</v>
      </c>
      <c r="K761" s="44">
        <f>IFERROR(AVERAGE(Data!K765), "  ")</f>
        <v>3.0252100840336135E-2</v>
      </c>
      <c r="L761" s="45">
        <f>IFERROR(AVERAGE(Data!L765), "  ")</f>
        <v>599.66666666666663</v>
      </c>
    </row>
    <row r="762" spans="1:12" x14ac:dyDescent="0.2">
      <c r="A762" s="43"/>
      <c r="B762" s="42">
        <f>IFERROR(AVERAGE(Data!B766), "  ")</f>
        <v>420</v>
      </c>
      <c r="C762" s="42">
        <f>IFERROR(AVERAGE(Data!C766), "  ")</f>
        <v>34</v>
      </c>
      <c r="D762" s="42">
        <f>IFERROR(AVERAGE(Data!D766), "  ")</f>
        <v>80</v>
      </c>
      <c r="E762" s="42">
        <f>IFERROR(AVERAGE(Data!E766), "  ")</f>
        <v>534</v>
      </c>
      <c r="F762" s="42">
        <f>IFERROR(AVERAGE(Data!F766), "  ")</f>
        <v>605</v>
      </c>
      <c r="G762" s="42">
        <f>IFERROR(AVERAGE(Data!G766), "  ")</f>
        <v>71</v>
      </c>
      <c r="H762" s="44">
        <f>IFERROR(AVERAGE(Data!H766), "  ")</f>
        <v>-1.3050570962479609E-2</v>
      </c>
      <c r="I762" s="44">
        <f>IFERROR(AVERAGE(Data!I766), "  ")</f>
        <v>0.27446300715990452</v>
      </c>
      <c r="J762" s="42">
        <f>IFERROR(AVERAGE(Data!J766), "  ")</f>
        <v>115</v>
      </c>
      <c r="K762" s="44">
        <f>IFERROR(AVERAGE(Data!K766), "  ")</f>
        <v>8.2289803220035776E-2</v>
      </c>
      <c r="L762" s="45">
        <f>IFERROR(AVERAGE(Data!L766), "  ")</f>
        <v>585</v>
      </c>
    </row>
    <row r="763" spans="1:12" x14ac:dyDescent="0.2">
      <c r="A763" s="43"/>
      <c r="B763" s="42">
        <f>IFERROR(AVERAGE(Data!B767), "  ")</f>
        <v>418</v>
      </c>
      <c r="C763" s="42">
        <f>IFERROR(AVERAGE(Data!C767), "  ")</f>
        <v>28</v>
      </c>
      <c r="D763" s="42">
        <f>IFERROR(AVERAGE(Data!D767), "  ")</f>
        <v>60</v>
      </c>
      <c r="E763" s="42">
        <f>IFERROR(AVERAGE(Data!E767), "  ")</f>
        <v>506</v>
      </c>
      <c r="F763" s="42">
        <f>IFERROR(AVERAGE(Data!F767), "  ")</f>
        <v>640</v>
      </c>
      <c r="G763" s="42">
        <f>IFERROR(AVERAGE(Data!G767), "  ")</f>
        <v>134</v>
      </c>
      <c r="H763" s="44">
        <f>IFERROR(AVERAGE(Data!H767), "  ")</f>
        <v>5.7851239669421489E-2</v>
      </c>
      <c r="I763" s="44">
        <f>IFERROR(AVERAGE(Data!I767), "  ")</f>
        <v>-5.2434456928838954E-2</v>
      </c>
      <c r="J763" s="42">
        <f>IFERROR(AVERAGE(Data!J767), "  ")</f>
        <v>-28</v>
      </c>
      <c r="K763" s="44">
        <f>IFERROR(AVERAGE(Data!K767), "  ")</f>
        <v>0.24756335282651071</v>
      </c>
      <c r="L763" s="45">
        <f>IFERROR(AVERAGE(Data!L767), "  ")</f>
        <v>597</v>
      </c>
    </row>
    <row r="764" spans="1:12" x14ac:dyDescent="0.2">
      <c r="A764" s="43"/>
      <c r="B764" s="42">
        <f>IFERROR(AVERAGE(Data!B768), "  ")</f>
        <v>318</v>
      </c>
      <c r="C764" s="42">
        <f>IFERROR(AVERAGE(Data!C768), "  ")</f>
        <v>54</v>
      </c>
      <c r="D764" s="42">
        <f>IFERROR(AVERAGE(Data!D768), "  ")</f>
        <v>41</v>
      </c>
      <c r="E764" s="42">
        <f>IFERROR(AVERAGE(Data!E768), "  ")</f>
        <v>413</v>
      </c>
      <c r="F764" s="42">
        <f>IFERROR(AVERAGE(Data!F768), "  ")</f>
        <v>515</v>
      </c>
      <c r="G764" s="42">
        <f>IFERROR(AVERAGE(Data!G768), "  ")</f>
        <v>102</v>
      </c>
      <c r="H764" s="44">
        <f>IFERROR(AVERAGE(Data!H768), "  ")</f>
        <v>-0.1953125</v>
      </c>
      <c r="I764" s="44">
        <f>IFERROR(AVERAGE(Data!I768), "  ")</f>
        <v>-0.18379446640316205</v>
      </c>
      <c r="J764" s="42">
        <f>IFERROR(AVERAGE(Data!J768), "  ")</f>
        <v>-93</v>
      </c>
      <c r="K764" s="44">
        <f>IFERROR(AVERAGE(Data!K768), "  ")</f>
        <v>3.8986354775828458E-3</v>
      </c>
      <c r="L764" s="45">
        <f>IFERROR(AVERAGE(Data!L768), "  ")</f>
        <v>567</v>
      </c>
    </row>
    <row r="765" spans="1:12" x14ac:dyDescent="0.2">
      <c r="A765" s="43"/>
      <c r="B765" s="42">
        <f>IFERROR(AVERAGE(Data!B769), "  ")</f>
        <v>458</v>
      </c>
      <c r="C765" s="42">
        <f>IFERROR(AVERAGE(Data!C769), "  ")</f>
        <v>4</v>
      </c>
      <c r="D765" s="42">
        <f>IFERROR(AVERAGE(Data!D769), "  ")</f>
        <v>38</v>
      </c>
      <c r="E765" s="42">
        <f>IFERROR(AVERAGE(Data!E769), "  ")</f>
        <v>500</v>
      </c>
      <c r="F765" s="42">
        <f>IFERROR(AVERAGE(Data!F769), "  ")</f>
        <v>646</v>
      </c>
      <c r="G765" s="42">
        <f>IFERROR(AVERAGE(Data!G769), "  ")</f>
        <v>146</v>
      </c>
      <c r="H765" s="44">
        <f>IFERROR(AVERAGE(Data!H769), "  ")</f>
        <v>0.25436893203883493</v>
      </c>
      <c r="I765" s="44">
        <f>IFERROR(AVERAGE(Data!I769), "  ")</f>
        <v>0.21065375302663439</v>
      </c>
      <c r="J765" s="42">
        <f>IFERROR(AVERAGE(Data!J769), "  ")</f>
        <v>87</v>
      </c>
      <c r="K765" s="44">
        <f>IFERROR(AVERAGE(Data!K769), "  ")</f>
        <v>0.49537037037037035</v>
      </c>
      <c r="L765" s="45">
        <f>IFERROR(AVERAGE(Data!L769), "  ")</f>
        <v>557.33333333333337</v>
      </c>
    </row>
    <row r="766" spans="1:12" x14ac:dyDescent="0.2">
      <c r="A766" s="43"/>
      <c r="B766" s="42">
        <f>IFERROR(AVERAGE(Data!B770), "  ")</f>
        <v>415</v>
      </c>
      <c r="C766" s="42">
        <f>IFERROR(AVERAGE(Data!C770), "  ")</f>
        <v>29</v>
      </c>
      <c r="D766" s="42">
        <f>IFERROR(AVERAGE(Data!D770), "  ")</f>
        <v>44</v>
      </c>
      <c r="E766" s="42">
        <f>IFERROR(AVERAGE(Data!E770), "  ")</f>
        <v>488</v>
      </c>
      <c r="F766" s="42">
        <f>IFERROR(AVERAGE(Data!F770), "  ")</f>
        <v>615</v>
      </c>
      <c r="G766" s="42">
        <f>IFERROR(AVERAGE(Data!G770), "  ")</f>
        <v>127</v>
      </c>
      <c r="H766" s="44">
        <f>IFERROR(AVERAGE(Data!H770), "  ")</f>
        <v>-4.7987616099071206E-2</v>
      </c>
      <c r="I766" s="44">
        <f>IFERROR(AVERAGE(Data!I770), "  ")</f>
        <v>-2.4E-2</v>
      </c>
      <c r="J766" s="42">
        <f>IFERROR(AVERAGE(Data!J770), "  ")</f>
        <v>-12</v>
      </c>
      <c r="K766" s="44">
        <f>IFERROR(AVERAGE(Data!K770), "  ")</f>
        <v>0.38826185101580135</v>
      </c>
      <c r="L766" s="45">
        <f>IFERROR(AVERAGE(Data!L770), "  ")</f>
        <v>529.33333333333337</v>
      </c>
    </row>
    <row r="767" spans="1:12" x14ac:dyDescent="0.2">
      <c r="A767" s="43"/>
      <c r="B767" s="42">
        <f>IFERROR(AVERAGE(Data!B771), "  ")</f>
        <v>479</v>
      </c>
      <c r="C767" s="42">
        <f>IFERROR(AVERAGE(Data!C771), "  ")</f>
        <v>12</v>
      </c>
      <c r="D767" s="42">
        <f>IFERROR(AVERAGE(Data!D771), "  ")</f>
        <v>26</v>
      </c>
      <c r="E767" s="42">
        <f>IFERROR(AVERAGE(Data!E771), "  ")</f>
        <v>517</v>
      </c>
      <c r="F767" s="42">
        <f>IFERROR(AVERAGE(Data!F771), "  ")</f>
        <v>670</v>
      </c>
      <c r="G767" s="42">
        <f>IFERROR(AVERAGE(Data!G771), "  ")</f>
        <v>153</v>
      </c>
      <c r="H767" s="44">
        <f>IFERROR(AVERAGE(Data!H771), "  ")</f>
        <v>8.943089430894309E-2</v>
      </c>
      <c r="I767" s="44">
        <f>IFERROR(AVERAGE(Data!I771), "  ")</f>
        <v>5.9426229508196718E-2</v>
      </c>
      <c r="J767" s="42">
        <f>IFERROR(AVERAGE(Data!J771), "  ")</f>
        <v>29</v>
      </c>
      <c r="K767" s="44">
        <f>IFERROR(AVERAGE(Data!K771), "  ")</f>
        <v>0.74934725848563966</v>
      </c>
      <c r="L767" s="45">
        <f>IFERROR(AVERAGE(Data!L771), "  ")</f>
        <v>586.66666666666663</v>
      </c>
    </row>
    <row r="768" spans="1:12" x14ac:dyDescent="0.2">
      <c r="A768" s="43"/>
      <c r="B768" s="42">
        <f>IFERROR(AVERAGE(Data!B772), "  ")</f>
        <v>528</v>
      </c>
      <c r="C768" s="42">
        <f>IFERROR(AVERAGE(Data!C772), "  ")</f>
        <v>42</v>
      </c>
      <c r="D768" s="42">
        <f>IFERROR(AVERAGE(Data!D772), "  ")</f>
        <v>47</v>
      </c>
      <c r="E768" s="42">
        <f>IFERROR(AVERAGE(Data!E772), "  ")</f>
        <v>617</v>
      </c>
      <c r="F768" s="42">
        <f>IFERROR(AVERAGE(Data!F772), "  ")</f>
        <v>514</v>
      </c>
      <c r="G768" s="42">
        <f>IFERROR(AVERAGE(Data!G772), "  ")</f>
        <v>-103</v>
      </c>
      <c r="H768" s="44">
        <f>IFERROR(AVERAGE(Data!H772), "  ")</f>
        <v>-0.23283582089552238</v>
      </c>
      <c r="I768" s="44">
        <f>IFERROR(AVERAGE(Data!I772), "  ")</f>
        <v>0.19342359767891681</v>
      </c>
      <c r="J768" s="42">
        <f>IFERROR(AVERAGE(Data!J772), "  ")</f>
        <v>100</v>
      </c>
      <c r="K768" s="44">
        <f>IFERROR(AVERAGE(Data!K772), "  ")</f>
        <v>0.47277936962750716</v>
      </c>
      <c r="L768" s="45">
        <f>IFERROR(AVERAGE(Data!L772), "  ")</f>
        <v>506.66666666666669</v>
      </c>
    </row>
    <row r="769" spans="1:12" x14ac:dyDescent="0.2">
      <c r="A769" s="43"/>
      <c r="B769" s="42">
        <f>IFERROR(AVERAGE(Data!B773), "  ")</f>
        <v>610</v>
      </c>
      <c r="C769" s="42">
        <f>IFERROR(AVERAGE(Data!C773), "  ")</f>
        <v>57</v>
      </c>
      <c r="D769" s="42">
        <f>IFERROR(AVERAGE(Data!D773), "  ")</f>
        <v>34</v>
      </c>
      <c r="E769" s="42">
        <f>IFERROR(AVERAGE(Data!E773), "  ")</f>
        <v>701</v>
      </c>
      <c r="F769" s="42">
        <f>IFERROR(AVERAGE(Data!F773), "  ")</f>
        <v>646</v>
      </c>
      <c r="G769" s="42">
        <f>IFERROR(AVERAGE(Data!G773), "  ")</f>
        <v>-55</v>
      </c>
      <c r="H769" s="44">
        <f>IFERROR(AVERAGE(Data!H773), "  ")</f>
        <v>0.25680933852140075</v>
      </c>
      <c r="I769" s="44">
        <f>IFERROR(AVERAGE(Data!I773), "  ")</f>
        <v>0.13614262560777957</v>
      </c>
      <c r="J769" s="42">
        <f>IFERROR(AVERAGE(Data!J773), "  ")</f>
        <v>84</v>
      </c>
      <c r="K769" s="44">
        <f>IFERROR(AVERAGE(Data!K773), "  ")</f>
        <v>1.4377358490566037</v>
      </c>
      <c r="L769" s="45">
        <f>IFERROR(AVERAGE(Data!L773), "  ")</f>
        <v>517</v>
      </c>
    </row>
    <row r="770" spans="1:12" x14ac:dyDescent="0.2">
      <c r="A770" s="43"/>
      <c r="B770" s="42">
        <f>IFERROR(AVERAGE(Data!B774), "  ")</f>
        <v>521</v>
      </c>
      <c r="C770" s="42">
        <f>IFERROR(AVERAGE(Data!C774), "  ")</f>
        <v>26</v>
      </c>
      <c r="D770" s="42">
        <f>IFERROR(AVERAGE(Data!D774), "  ")</f>
        <v>20</v>
      </c>
      <c r="E770" s="42">
        <f>IFERROR(AVERAGE(Data!E774), "  ")</f>
        <v>567</v>
      </c>
      <c r="F770" s="42">
        <f>IFERROR(AVERAGE(Data!F774), "  ")</f>
        <v>629</v>
      </c>
      <c r="G770" s="42">
        <f>IFERROR(AVERAGE(Data!G774), "  ")</f>
        <v>62</v>
      </c>
      <c r="H770" s="44">
        <f>IFERROR(AVERAGE(Data!H774), "  ")</f>
        <v>-2.6315789473684209E-2</v>
      </c>
      <c r="I770" s="44">
        <f>IFERROR(AVERAGE(Data!I774), "  ")</f>
        <v>-0.19115549215406563</v>
      </c>
      <c r="J770" s="42">
        <f>IFERROR(AVERAGE(Data!J774), "  ")</f>
        <v>-134</v>
      </c>
      <c r="K770" s="44">
        <f>IFERROR(AVERAGE(Data!K774), "  ")</f>
        <v>0.68632707774798929</v>
      </c>
      <c r="L770" s="45">
        <f>IFERROR(AVERAGE(Data!L774), "  ")</f>
        <v>614.66666666666663</v>
      </c>
    </row>
    <row r="771" spans="1:12" x14ac:dyDescent="0.2">
      <c r="A771" s="43"/>
      <c r="B771" s="42">
        <f>IFERROR(AVERAGE(Data!B775), "  ")</f>
        <v>302</v>
      </c>
      <c r="C771" s="42">
        <f>IFERROR(AVERAGE(Data!C775), "  ")</f>
        <v>66</v>
      </c>
      <c r="D771" s="42">
        <f>IFERROR(AVERAGE(Data!D775), "  ")</f>
        <v>52</v>
      </c>
      <c r="E771" s="42">
        <f>IFERROR(AVERAGE(Data!E775), "  ")</f>
        <v>420</v>
      </c>
      <c r="F771" s="42">
        <f>IFERROR(AVERAGE(Data!F775), "  ")</f>
        <v>635</v>
      </c>
      <c r="G771" s="42">
        <f>IFERROR(AVERAGE(Data!G775), "  ")</f>
        <v>215</v>
      </c>
      <c r="H771" s="44">
        <f>IFERROR(AVERAGE(Data!H775), "  ")</f>
        <v>9.538950715421303E-3</v>
      </c>
      <c r="I771" s="44">
        <f>IFERROR(AVERAGE(Data!I775), "  ")</f>
        <v>-0.25925925925925924</v>
      </c>
      <c r="J771" s="42">
        <f>IFERROR(AVERAGE(Data!J775), "  ")</f>
        <v>-147</v>
      </c>
      <c r="K771" s="44">
        <f>IFERROR(AVERAGE(Data!K775), "  ")</f>
        <v>0.46313364055299538</v>
      </c>
      <c r="L771" s="45">
        <f>IFERROR(AVERAGE(Data!L775), "  ")</f>
        <v>584.66666666666663</v>
      </c>
    </row>
    <row r="772" spans="1:12" x14ac:dyDescent="0.2">
      <c r="A772" s="43"/>
      <c r="B772" s="42">
        <f>IFERROR(AVERAGE(Data!B776), "  ")</f>
        <v>448</v>
      </c>
      <c r="C772" s="42">
        <f>IFERROR(AVERAGE(Data!C776), "  ")</f>
        <v>27</v>
      </c>
      <c r="D772" s="42">
        <f>IFERROR(AVERAGE(Data!D776), "  ")</f>
        <v>70</v>
      </c>
      <c r="E772" s="42">
        <f>IFERROR(AVERAGE(Data!E776), "  ")</f>
        <v>545</v>
      </c>
      <c r="F772" s="42">
        <f>IFERROR(AVERAGE(Data!F776), "  ")</f>
        <v>670</v>
      </c>
      <c r="G772" s="42">
        <f>IFERROR(AVERAGE(Data!G776), "  ")</f>
        <v>125</v>
      </c>
      <c r="H772" s="44">
        <f>IFERROR(AVERAGE(Data!H776), "  ")</f>
        <v>5.5118110236220472E-2</v>
      </c>
      <c r="I772" s="44">
        <f>IFERROR(AVERAGE(Data!I776), "  ")</f>
        <v>0.29761904761904762</v>
      </c>
      <c r="J772" s="42">
        <f>IFERROR(AVERAGE(Data!J776), "  ")</f>
        <v>125</v>
      </c>
      <c r="K772" s="44">
        <f>IFERROR(AVERAGE(Data!K776), "  ")</f>
        <v>1.2408026755852843</v>
      </c>
      <c r="L772" s="45">
        <f>IFERROR(AVERAGE(Data!L776), "  ")</f>
        <v>583</v>
      </c>
    </row>
    <row r="773" spans="1:12" x14ac:dyDescent="0.2">
      <c r="A773" s="43"/>
      <c r="B773" s="42">
        <f>IFERROR(AVERAGE(Data!B777), "  ")</f>
        <v>379</v>
      </c>
      <c r="C773" s="42">
        <f>IFERROR(AVERAGE(Data!C777), "  ")</f>
        <v>49</v>
      </c>
      <c r="D773" s="42">
        <f>IFERROR(AVERAGE(Data!D777), "  ")</f>
        <v>51</v>
      </c>
      <c r="E773" s="42">
        <f>IFERROR(AVERAGE(Data!E777), "  ")</f>
        <v>479</v>
      </c>
      <c r="F773" s="42">
        <f>IFERROR(AVERAGE(Data!F777), "  ")</f>
        <v>590</v>
      </c>
      <c r="G773" s="42">
        <f>IFERROR(AVERAGE(Data!G777), "  ")</f>
        <v>111</v>
      </c>
      <c r="H773" s="44">
        <f>IFERROR(AVERAGE(Data!H777), "  ")</f>
        <v>-0.11940298507462686</v>
      </c>
      <c r="I773" s="44">
        <f>IFERROR(AVERAGE(Data!I777), "  ")</f>
        <v>-0.12110091743119267</v>
      </c>
      <c r="J773" s="42">
        <f>IFERROR(AVERAGE(Data!J777), "  ")</f>
        <v>-66</v>
      </c>
      <c r="K773" s="44">
        <f>IFERROR(AVERAGE(Data!K777), "  ")</f>
        <v>0.42168674698795183</v>
      </c>
      <c r="L773" s="45">
        <f>IFERROR(AVERAGE(Data!L777), "  ")</f>
        <v>634.66666666666663</v>
      </c>
    </row>
    <row r="774" spans="1:12" x14ac:dyDescent="0.2">
      <c r="A774" s="43"/>
      <c r="B774" s="42" t="str">
        <f>IFERROR(AVERAGE(Data!#REF!), "  ")</f>
        <v xml:space="preserve">  </v>
      </c>
      <c r="C774" s="42" t="str">
        <f>IFERROR(AVERAGE(Data!#REF!), "  ")</f>
        <v xml:space="preserve">  </v>
      </c>
      <c r="D774" s="42" t="str">
        <f>IFERROR(AVERAGE(Data!#REF!), "  ")</f>
        <v xml:space="preserve">  </v>
      </c>
      <c r="E774" s="42" t="str">
        <f>IFERROR(AVERAGE(Data!#REF!), "  ")</f>
        <v xml:space="preserve">  </v>
      </c>
      <c r="F774" s="42" t="str">
        <f>IFERROR(AVERAGE(Data!#REF!), "  ")</f>
        <v xml:space="preserve">  </v>
      </c>
      <c r="G774" s="42" t="str">
        <f>IFERROR(AVERAGE(Data!#REF!), "  ")</f>
        <v xml:space="preserve">  </v>
      </c>
      <c r="H774" s="44" t="str">
        <f>IFERROR(AVERAGE(Data!#REF!), "  ")</f>
        <v xml:space="preserve">  </v>
      </c>
      <c r="I774" s="44" t="str">
        <f>IFERROR(AVERAGE(Data!#REF!), "  ")</f>
        <v xml:space="preserve">  </v>
      </c>
      <c r="J774" s="42" t="str">
        <f>IFERROR(AVERAGE(Data!#REF!), "  ")</f>
        <v xml:space="preserve">  </v>
      </c>
      <c r="K774" s="44" t="str">
        <f>IFERROR(AVERAGE(Data!#REF!), "  ")</f>
        <v xml:space="preserve">  </v>
      </c>
      <c r="L774" s="45" t="str">
        <f>IFERROR(AVERAGE(Data!#REF!), "  ")</f>
        <v xml:space="preserve">  </v>
      </c>
    </row>
    <row r="775" spans="1:12" x14ac:dyDescent="0.2">
      <c r="A775" s="43"/>
      <c r="B775" s="42">
        <f>IFERROR(AVERAGE(Data!B778), "  ")</f>
        <v>455</v>
      </c>
      <c r="C775" s="42">
        <f>IFERROR(AVERAGE(Data!C778), "  ")</f>
        <v>19</v>
      </c>
      <c r="D775" s="42">
        <f>IFERROR(AVERAGE(Data!D778), "  ")</f>
        <v>51</v>
      </c>
      <c r="E775" s="42">
        <f>IFERROR(AVERAGE(Data!E778), "  ")</f>
        <v>525</v>
      </c>
      <c r="F775" s="42">
        <f>IFERROR(AVERAGE(Data!F778), "  ")</f>
        <v>535</v>
      </c>
      <c r="G775" s="42">
        <f>IFERROR(AVERAGE(Data!G778), "  ")</f>
        <v>10</v>
      </c>
      <c r="H775" s="44">
        <f>IFERROR(AVERAGE(Data!H778), "  ")</f>
        <v>-9.3220338983050849E-2</v>
      </c>
      <c r="I775" s="44">
        <f>IFERROR(AVERAGE(Data!I778), "  ")</f>
        <v>9.6033402922755737E-2</v>
      </c>
      <c r="J775" s="42">
        <f>IFERROR(AVERAGE(Data!J778), "  ")</f>
        <v>46</v>
      </c>
      <c r="K775" s="44">
        <f>IFERROR(AVERAGE(Data!K778), "  ")</f>
        <v>-9.3220338983050849E-2</v>
      </c>
      <c r="L775" s="45">
        <f>IFERROR(AVERAGE(Data!L778), "  ")</f>
        <v>717.66666666666663</v>
      </c>
    </row>
    <row r="776" spans="1:12" x14ac:dyDescent="0.2">
      <c r="A776" s="43"/>
      <c r="B776" s="42">
        <f>IFERROR(AVERAGE(Data!B779), "  ")</f>
        <v>441</v>
      </c>
      <c r="C776" s="42">
        <f>IFERROR(AVERAGE(Data!C779), "  ")</f>
        <v>33</v>
      </c>
      <c r="D776" s="42">
        <f>IFERROR(AVERAGE(Data!D779), "  ")</f>
        <v>83</v>
      </c>
      <c r="E776" s="42">
        <f>IFERROR(AVERAGE(Data!E779), "  ")</f>
        <v>557</v>
      </c>
      <c r="F776" s="42">
        <f>IFERROR(AVERAGE(Data!F779), "  ")</f>
        <v>616</v>
      </c>
      <c r="G776" s="42">
        <f>IFERROR(AVERAGE(Data!G779), "  ")</f>
        <v>59</v>
      </c>
      <c r="H776" s="44">
        <f>IFERROR(AVERAGE(Data!H779), "  ")</f>
        <v>0.15140186915887852</v>
      </c>
      <c r="I776" s="44">
        <f>IFERROR(AVERAGE(Data!I779), "  ")</f>
        <v>6.0952380952380952E-2</v>
      </c>
      <c r="J776" s="42">
        <f>IFERROR(AVERAGE(Data!J779), "  ")</f>
        <v>32</v>
      </c>
      <c r="K776" s="44">
        <f>IFERROR(AVERAGE(Data!K779), "  ")</f>
        <v>-6.6666666666666666E-2</v>
      </c>
      <c r="L776" s="45">
        <f>IFERROR(AVERAGE(Data!L779), "  ")</f>
        <v>674.66666666666663</v>
      </c>
    </row>
    <row r="777" spans="1:12" x14ac:dyDescent="0.2">
      <c r="A777" s="43"/>
      <c r="B777" s="42">
        <f>IFERROR(AVERAGE(Data!B780), "  ")</f>
        <v>314</v>
      </c>
      <c r="C777" s="42">
        <f>IFERROR(AVERAGE(Data!C780), "  ")</f>
        <v>26</v>
      </c>
      <c r="D777" s="42">
        <f>IFERROR(AVERAGE(Data!D780), "  ")</f>
        <v>59</v>
      </c>
      <c r="E777" s="42">
        <f>IFERROR(AVERAGE(Data!E780), "  ")</f>
        <v>399</v>
      </c>
      <c r="F777" s="42">
        <f>IFERROR(AVERAGE(Data!F780), "  ")</f>
        <v>797</v>
      </c>
      <c r="G777" s="42">
        <f>IFERROR(AVERAGE(Data!G780), "  ")</f>
        <v>398</v>
      </c>
      <c r="H777" s="44">
        <f>IFERROR(AVERAGE(Data!H780), "  ")</f>
        <v>0.29383116883116883</v>
      </c>
      <c r="I777" s="44">
        <f>IFERROR(AVERAGE(Data!I780), "  ")</f>
        <v>-0.28366247755834828</v>
      </c>
      <c r="J777" s="42">
        <f>IFERROR(AVERAGE(Data!J780), "  ")</f>
        <v>-158</v>
      </c>
      <c r="K777" s="44">
        <f>IFERROR(AVERAGE(Data!K780), "  ")</f>
        <v>0.13049645390070921</v>
      </c>
      <c r="L777" s="45">
        <f>IFERROR(AVERAGE(Data!L780), "  ")</f>
        <v>657.33333333333337</v>
      </c>
    </row>
    <row r="778" spans="1:12" x14ac:dyDescent="0.2">
      <c r="A778" s="43"/>
      <c r="B778" s="42">
        <f>IFERROR(AVERAGE(Data!B781), "  ")</f>
        <v>457</v>
      </c>
      <c r="C778" s="42">
        <f>IFERROR(AVERAGE(Data!C781), "  ")</f>
        <v>37</v>
      </c>
      <c r="D778" s="42">
        <f>IFERROR(AVERAGE(Data!D781), "  ")</f>
        <v>84</v>
      </c>
      <c r="E778" s="42">
        <f>IFERROR(AVERAGE(Data!E781), "  ")</f>
        <v>578</v>
      </c>
      <c r="F778" s="42">
        <f>IFERROR(AVERAGE(Data!F781), "  ")</f>
        <v>734</v>
      </c>
      <c r="G778" s="42">
        <f>IFERROR(AVERAGE(Data!G781), "  ")</f>
        <v>156</v>
      </c>
      <c r="H778" s="44">
        <f>IFERROR(AVERAGE(Data!H781), "  ")</f>
        <v>-7.9046424090338768E-2</v>
      </c>
      <c r="I778" s="44">
        <f>IFERROR(AVERAGE(Data!I781), "  ")</f>
        <v>0.44862155388471175</v>
      </c>
      <c r="J778" s="42">
        <f>IFERROR(AVERAGE(Data!J781), "  ")</f>
        <v>179</v>
      </c>
      <c r="K778" s="44">
        <f>IFERROR(AVERAGE(Data!K781), "  ")</f>
        <v>7.6246334310850442E-2</v>
      </c>
      <c r="L778" s="45">
        <f>IFERROR(AVERAGE(Data!L781), "  ")</f>
        <v>696.66666666666663</v>
      </c>
    </row>
    <row r="779" spans="1:12" x14ac:dyDescent="0.2">
      <c r="A779" s="43"/>
      <c r="B779" s="42">
        <f>IFERROR(AVERAGE(Data!B782), "  ")</f>
        <v>522</v>
      </c>
      <c r="C779" s="42">
        <f>IFERROR(AVERAGE(Data!C782), "  ")</f>
        <v>21</v>
      </c>
      <c r="D779" s="42">
        <f>IFERROR(AVERAGE(Data!D782), "  ")</f>
        <v>41</v>
      </c>
      <c r="E779" s="42">
        <f>IFERROR(AVERAGE(Data!E782), "  ")</f>
        <v>584</v>
      </c>
      <c r="F779" s="42">
        <f>IFERROR(AVERAGE(Data!F782), "  ")</f>
        <v>680</v>
      </c>
      <c r="G779" s="42">
        <f>IFERROR(AVERAGE(Data!G782), "  ")</f>
        <v>96</v>
      </c>
      <c r="H779" s="44">
        <f>IFERROR(AVERAGE(Data!H782), "  ")</f>
        <v>-7.3569482288828342E-2</v>
      </c>
      <c r="I779" s="44">
        <f>IFERROR(AVERAGE(Data!I782), "  ")</f>
        <v>1.0380622837370242E-2</v>
      </c>
      <c r="J779" s="42">
        <f>IFERROR(AVERAGE(Data!J782), "  ")</f>
        <v>6</v>
      </c>
      <c r="K779" s="44">
        <f>IFERROR(AVERAGE(Data!K782), "  ")</f>
        <v>0.13522537562604339</v>
      </c>
      <c r="L779" s="45">
        <f>IFERROR(AVERAGE(Data!L782), "  ")</f>
        <v>670.33333333333337</v>
      </c>
    </row>
    <row r="780" spans="1:12" x14ac:dyDescent="0.2">
      <c r="A780" s="43"/>
      <c r="B780" s="42">
        <f>IFERROR(AVERAGE(Data!B783), "  ")</f>
        <v>400</v>
      </c>
      <c r="C780" s="42">
        <f>IFERROR(AVERAGE(Data!C783), "  ")</f>
        <v>26</v>
      </c>
      <c r="D780" s="42">
        <f>IFERROR(AVERAGE(Data!D783), "  ")</f>
        <v>55</v>
      </c>
      <c r="E780" s="42">
        <f>IFERROR(AVERAGE(Data!E783), "  ")</f>
        <v>481</v>
      </c>
      <c r="F780" s="42">
        <f>IFERROR(AVERAGE(Data!F783), "  ")</f>
        <v>433</v>
      </c>
      <c r="G780" s="42">
        <f>IFERROR(AVERAGE(Data!G783), "  ")</f>
        <v>-48</v>
      </c>
      <c r="H780" s="44">
        <f>IFERROR(AVERAGE(Data!H783), "  ")</f>
        <v>-0.36323529411764705</v>
      </c>
      <c r="I780" s="44">
        <f>IFERROR(AVERAGE(Data!I783), "  ")</f>
        <v>-0.17636986301369864</v>
      </c>
      <c r="J780" s="42">
        <f>IFERROR(AVERAGE(Data!J783), "  ")</f>
        <v>-103</v>
      </c>
      <c r="K780" s="44">
        <f>IFERROR(AVERAGE(Data!K783), "  ")</f>
        <v>-0.32554517133956384</v>
      </c>
      <c r="L780" s="45">
        <f>IFERROR(AVERAGE(Data!L783), "  ")</f>
        <v>667.66666666666663</v>
      </c>
    </row>
    <row r="781" spans="1:12" x14ac:dyDescent="0.2">
      <c r="A781" s="43"/>
      <c r="B781" s="42">
        <f>IFERROR(AVERAGE(Data!B784), "  ")</f>
        <v>425</v>
      </c>
      <c r="C781" s="42">
        <f>IFERROR(AVERAGE(Data!C784), "  ")</f>
        <v>27</v>
      </c>
      <c r="D781" s="42">
        <f>IFERROR(AVERAGE(Data!D784), "  ")</f>
        <v>58</v>
      </c>
      <c r="E781" s="42">
        <f>IFERROR(AVERAGE(Data!E784), "  ")</f>
        <v>510</v>
      </c>
      <c r="F781" s="42">
        <f>IFERROR(AVERAGE(Data!F784), "  ")</f>
        <v>824</v>
      </c>
      <c r="G781" s="42">
        <f>IFERROR(AVERAGE(Data!G784), "  ")</f>
        <v>314</v>
      </c>
      <c r="H781" s="44">
        <f>IFERROR(AVERAGE(Data!H784), "  ")</f>
        <v>0.90300230946882221</v>
      </c>
      <c r="I781" s="44">
        <f>IFERROR(AVERAGE(Data!I784), "  ")</f>
        <v>6.0291060291060294E-2</v>
      </c>
      <c r="J781" s="42">
        <f>IFERROR(AVERAGE(Data!J784), "  ")</f>
        <v>29</v>
      </c>
      <c r="K781" s="44">
        <f>IFERROR(AVERAGE(Data!K784), "  ")</f>
        <v>0.21354933726067746</v>
      </c>
      <c r="L781" s="45">
        <f>IFERROR(AVERAGE(Data!L784), "  ")</f>
        <v>750.66666666666663</v>
      </c>
    </row>
    <row r="782" spans="1:12" x14ac:dyDescent="0.2">
      <c r="A782" s="43"/>
      <c r="B782" s="42">
        <f>IFERROR(AVERAGE(Data!B785), "  ")</f>
        <v>447</v>
      </c>
      <c r="C782" s="42">
        <f>IFERROR(AVERAGE(Data!C785), "  ")</f>
        <v>32</v>
      </c>
      <c r="D782" s="42">
        <f>IFERROR(AVERAGE(Data!D785), "  ")</f>
        <v>35</v>
      </c>
      <c r="E782" s="42">
        <f>IFERROR(AVERAGE(Data!E785), "  ")</f>
        <v>514</v>
      </c>
      <c r="F782" s="42">
        <f>IFERROR(AVERAGE(Data!F785), "  ")</f>
        <v>912</v>
      </c>
      <c r="G782" s="42">
        <f>IFERROR(AVERAGE(Data!G785), "  ")</f>
        <v>398</v>
      </c>
      <c r="H782" s="44">
        <f>IFERROR(AVERAGE(Data!H785), "  ")</f>
        <v>0.10679611650485436</v>
      </c>
      <c r="I782" s="44">
        <f>IFERROR(AVERAGE(Data!I785), "  ")</f>
        <v>7.8431372549019607E-3</v>
      </c>
      <c r="J782" s="42">
        <f>IFERROR(AVERAGE(Data!J785), "  ")</f>
        <v>4</v>
      </c>
      <c r="K782" s="44">
        <f>IFERROR(AVERAGE(Data!K785), "  ")</f>
        <v>1.4385026737967914</v>
      </c>
      <c r="L782" s="45">
        <f>IFERROR(AVERAGE(Data!L785), "  ")</f>
        <v>628.33333333333337</v>
      </c>
    </row>
    <row r="783" spans="1:12" x14ac:dyDescent="0.2">
      <c r="A783" s="43"/>
      <c r="B783" s="42">
        <f>IFERROR(AVERAGE(Data!B786), "  ")</f>
        <v>238</v>
      </c>
      <c r="C783" s="42">
        <f>IFERROR(AVERAGE(Data!C786), "  ")</f>
        <v>25</v>
      </c>
      <c r="D783" s="42">
        <f>IFERROR(AVERAGE(Data!D786), "  ")</f>
        <v>55</v>
      </c>
      <c r="E783" s="42">
        <f>IFERROR(AVERAGE(Data!E786), "  ")</f>
        <v>318</v>
      </c>
      <c r="F783" s="42">
        <f>IFERROR(AVERAGE(Data!F786), "  ")</f>
        <v>636</v>
      </c>
      <c r="G783" s="42">
        <f>IFERROR(AVERAGE(Data!G786), "  ")</f>
        <v>318</v>
      </c>
      <c r="H783" s="44">
        <f>IFERROR(AVERAGE(Data!H786), "  ")</f>
        <v>-0.30263157894736842</v>
      </c>
      <c r="I783" s="44">
        <f>IFERROR(AVERAGE(Data!I786), "  ")</f>
        <v>-0.38132295719844356</v>
      </c>
      <c r="J783" s="42">
        <f>IFERROR(AVERAGE(Data!J786), "  ")</f>
        <v>-196</v>
      </c>
      <c r="K783" s="44">
        <f>IFERROR(AVERAGE(Data!K786), "  ")</f>
        <v>1.1128775834658187E-2</v>
      </c>
      <c r="L783" s="45">
        <f>IFERROR(AVERAGE(Data!L786), "  ")</f>
        <v>709.66666666666663</v>
      </c>
    </row>
    <row r="784" spans="1:12" x14ac:dyDescent="0.2">
      <c r="A784" s="43"/>
      <c r="B784" s="42">
        <f>IFERROR(AVERAGE(Data!B787), "  ")</f>
        <v>180</v>
      </c>
      <c r="C784" s="42">
        <f>IFERROR(AVERAGE(Data!C787), "  ")</f>
        <v>10</v>
      </c>
      <c r="D784" s="42">
        <f>IFERROR(AVERAGE(Data!D787), "  ")</f>
        <v>122</v>
      </c>
      <c r="E784" s="42">
        <f>IFERROR(AVERAGE(Data!E787), "  ")</f>
        <v>312</v>
      </c>
      <c r="F784" s="42">
        <f>IFERROR(AVERAGE(Data!F787), "  ")</f>
        <v>712</v>
      </c>
      <c r="G784" s="42">
        <f>IFERROR(AVERAGE(Data!G787), "  ")</f>
        <v>400</v>
      </c>
      <c r="H784" s="44">
        <f>IFERROR(AVERAGE(Data!H787), "  ")</f>
        <v>0.11949685534591195</v>
      </c>
      <c r="I784" s="44">
        <f>IFERROR(AVERAGE(Data!I787), "  ")</f>
        <v>-1.8867924528301886E-2</v>
      </c>
      <c r="J784" s="42">
        <f>IFERROR(AVERAGE(Data!J787), "  ")</f>
        <v>-6</v>
      </c>
      <c r="K784" s="44">
        <f>IFERROR(AVERAGE(Data!K787), "  ")</f>
        <v>4.552129221732746E-2</v>
      </c>
      <c r="L784" s="45">
        <f>IFERROR(AVERAGE(Data!L787), "  ")</f>
        <v>720.33333333333337</v>
      </c>
    </row>
    <row r="785" spans="1:12" x14ac:dyDescent="0.2">
      <c r="A785" s="43"/>
      <c r="B785" s="42">
        <f>IFERROR(AVERAGE(Data!B788), "  ")</f>
        <v>336</v>
      </c>
      <c r="C785" s="42">
        <f>IFERROR(AVERAGE(Data!C788), "  ")</f>
        <v>40</v>
      </c>
      <c r="D785" s="42">
        <f>IFERROR(AVERAGE(Data!D788), "  ")</f>
        <v>138</v>
      </c>
      <c r="E785" s="42">
        <f>IFERROR(AVERAGE(Data!E788), "  ")</f>
        <v>514</v>
      </c>
      <c r="F785" s="42">
        <f>IFERROR(AVERAGE(Data!F788), "  ")</f>
        <v>913</v>
      </c>
      <c r="G785" s="42">
        <f>IFERROR(AVERAGE(Data!G788), "  ")</f>
        <v>399</v>
      </c>
      <c r="H785" s="44">
        <f>IFERROR(AVERAGE(Data!H788), "  ")</f>
        <v>0.28230337078651685</v>
      </c>
      <c r="I785" s="44">
        <f>IFERROR(AVERAGE(Data!I788), "  ")</f>
        <v>0.64743589743589747</v>
      </c>
      <c r="J785" s="42">
        <f>IFERROR(AVERAGE(Data!J788), "  ")</f>
        <v>202</v>
      </c>
      <c r="K785" s="44">
        <f>IFERROR(AVERAGE(Data!K788), "  ")</f>
        <v>0.36472346786248133</v>
      </c>
      <c r="L785" s="45">
        <f>IFERROR(AVERAGE(Data!L788), "  ")</f>
        <v>713.33333333333337</v>
      </c>
    </row>
    <row r="786" spans="1:12" x14ac:dyDescent="0.2">
      <c r="A786" s="43"/>
      <c r="B786" s="42">
        <f>IFERROR(AVERAGE(Data!B789), "  ")</f>
        <v>303</v>
      </c>
      <c r="C786" s="42">
        <f>IFERROR(AVERAGE(Data!C789), "  ")</f>
        <v>46</v>
      </c>
      <c r="D786" s="42">
        <f>IFERROR(AVERAGE(Data!D789), "  ")</f>
        <v>126</v>
      </c>
      <c r="E786" s="42">
        <f>IFERROR(AVERAGE(Data!E789), "  ")</f>
        <v>475</v>
      </c>
      <c r="F786" s="42">
        <f>IFERROR(AVERAGE(Data!F789), "  ")</f>
        <v>759</v>
      </c>
      <c r="G786" s="42">
        <f>IFERROR(AVERAGE(Data!G789), "  ")</f>
        <v>284</v>
      </c>
      <c r="H786" s="44">
        <f>IFERROR(AVERAGE(Data!H789), "  ")</f>
        <v>-0.16867469879518071</v>
      </c>
      <c r="I786" s="44">
        <f>IFERROR(AVERAGE(Data!I789), "  ")</f>
        <v>-7.5875486381322951E-2</v>
      </c>
      <c r="J786" s="42">
        <f>IFERROR(AVERAGE(Data!J789), "  ")</f>
        <v>-39</v>
      </c>
      <c r="K786" s="44">
        <f>IFERROR(AVERAGE(Data!K789), "  ")</f>
        <v>3.125E-2</v>
      </c>
      <c r="L786" s="45">
        <f>IFERROR(AVERAGE(Data!L789), "  ")</f>
        <v>781.66666666666663</v>
      </c>
    </row>
    <row r="787" spans="1:12" x14ac:dyDescent="0.2">
      <c r="A787" s="43"/>
      <c r="B787" s="42">
        <f>IFERROR(AVERAGE(Data!B790), "  ")</f>
        <v>415</v>
      </c>
      <c r="C787" s="42">
        <f>IFERROR(AVERAGE(Data!C790), "  ")</f>
        <v>41</v>
      </c>
      <c r="D787" s="42">
        <f>IFERROR(AVERAGE(Data!D790), "  ")</f>
        <v>243</v>
      </c>
      <c r="E787" s="42">
        <f>IFERROR(AVERAGE(Data!E790), "  ")</f>
        <v>699</v>
      </c>
      <c r="F787" s="42">
        <f>IFERROR(AVERAGE(Data!F790), "  ")</f>
        <v>933</v>
      </c>
      <c r="G787" s="42">
        <f>IFERROR(AVERAGE(Data!G790), "  ")</f>
        <v>234</v>
      </c>
      <c r="H787" s="44">
        <f>IFERROR(AVERAGE(Data!H790), "  ")</f>
        <v>0.22924901185770752</v>
      </c>
      <c r="I787" s="44">
        <f>IFERROR(AVERAGE(Data!I790), "  ")</f>
        <v>0.47157894736842104</v>
      </c>
      <c r="J787" s="42">
        <f>IFERROR(AVERAGE(Data!J790), "  ")</f>
        <v>224</v>
      </c>
      <c r="K787" s="44">
        <f>IFERROR(AVERAGE(Data!K790), "  ")</f>
        <v>0.16044776119402984</v>
      </c>
      <c r="L787" s="45">
        <f>IFERROR(AVERAGE(Data!L790), "  ")</f>
        <v>886</v>
      </c>
    </row>
    <row r="788" spans="1:12" x14ac:dyDescent="0.2">
      <c r="A788" s="43"/>
      <c r="B788" s="42">
        <f>IFERROR(AVERAGE(Data!B791), "  ")</f>
        <v>585</v>
      </c>
      <c r="C788" s="42">
        <f>IFERROR(AVERAGE(Data!C791), "  ")</f>
        <v>40</v>
      </c>
      <c r="D788" s="42">
        <f>IFERROR(AVERAGE(Data!D791), "  ")</f>
        <v>132</v>
      </c>
      <c r="E788" s="42">
        <f>IFERROR(AVERAGE(Data!E791), "  ")</f>
        <v>757</v>
      </c>
      <c r="F788" s="42">
        <f>IFERROR(AVERAGE(Data!F791), "  ")</f>
        <v>982</v>
      </c>
      <c r="G788" s="42">
        <f>IFERROR(AVERAGE(Data!G791), "  ")</f>
        <v>225</v>
      </c>
      <c r="H788" s="44">
        <f>IFERROR(AVERAGE(Data!H791), "  ")</f>
        <v>5.2518756698821008E-2</v>
      </c>
      <c r="I788" s="44">
        <f>IFERROR(AVERAGE(Data!I791), "  ")</f>
        <v>8.2975679542203154E-2</v>
      </c>
      <c r="J788" s="42">
        <f>IFERROR(AVERAGE(Data!J791), "  ")</f>
        <v>58</v>
      </c>
      <c r="K788" s="44">
        <f>IFERROR(AVERAGE(Data!K791), "  ")</f>
        <v>0.62314049586776854</v>
      </c>
      <c r="L788" s="45">
        <f>IFERROR(AVERAGE(Data!L791), "  ")</f>
        <v>721</v>
      </c>
    </row>
    <row r="789" spans="1:12" x14ac:dyDescent="0.2">
      <c r="A789" s="43"/>
      <c r="B789" s="42">
        <f>IFERROR(AVERAGE(Data!B792), "  ")</f>
        <v>391</v>
      </c>
      <c r="C789" s="42">
        <f>IFERROR(AVERAGE(Data!C792), "  ")</f>
        <v>50</v>
      </c>
      <c r="D789" s="42">
        <f>IFERROR(AVERAGE(Data!D792), "  ")</f>
        <v>153</v>
      </c>
      <c r="E789" s="42">
        <f>IFERROR(AVERAGE(Data!E792), "  ")</f>
        <v>594</v>
      </c>
      <c r="F789" s="42">
        <f>IFERROR(AVERAGE(Data!F792), "  ")</f>
        <v>718</v>
      </c>
      <c r="G789" s="42">
        <f>IFERROR(AVERAGE(Data!G792), "  ")</f>
        <v>124</v>
      </c>
      <c r="H789" s="44">
        <f>IFERROR(AVERAGE(Data!H792), "  ")</f>
        <v>-0.26883910386965376</v>
      </c>
      <c r="I789" s="44">
        <f>IFERROR(AVERAGE(Data!I792), "  ")</f>
        <v>-0.21532364597093792</v>
      </c>
      <c r="J789" s="42">
        <f>IFERROR(AVERAGE(Data!J792), "  ")</f>
        <v>-163</v>
      </c>
      <c r="K789" s="44">
        <f>IFERROR(AVERAGE(Data!K792), "  ")</f>
        <v>0.15619967793880837</v>
      </c>
      <c r="L789" s="45">
        <f>IFERROR(AVERAGE(Data!L792), "  ")</f>
        <v>851.66666666666663</v>
      </c>
    </row>
    <row r="790" spans="1:12" x14ac:dyDescent="0.2">
      <c r="A790" s="43"/>
      <c r="B790" s="42">
        <f>IFERROR(AVERAGE(Data!B793), "  ")</f>
        <v>428</v>
      </c>
      <c r="C790" s="42">
        <f>IFERROR(AVERAGE(Data!C793), "  ")</f>
        <v>43</v>
      </c>
      <c r="D790" s="42">
        <f>IFERROR(AVERAGE(Data!D793), "  ")</f>
        <v>137</v>
      </c>
      <c r="E790" s="42">
        <f>IFERROR(AVERAGE(Data!E793), "  ")</f>
        <v>608</v>
      </c>
      <c r="F790" s="42">
        <f>IFERROR(AVERAGE(Data!F793), "  ")</f>
        <v>949</v>
      </c>
      <c r="G790" s="42">
        <f>IFERROR(AVERAGE(Data!G793), "  ")</f>
        <v>341</v>
      </c>
      <c r="H790" s="44">
        <f>IFERROR(AVERAGE(Data!H793), "  ")</f>
        <v>0.32172701949860727</v>
      </c>
      <c r="I790" s="44">
        <f>IFERROR(AVERAGE(Data!I793), "  ")</f>
        <v>2.3569023569023569E-2</v>
      </c>
      <c r="J790" s="42">
        <f>IFERROR(AVERAGE(Data!J793), "  ")</f>
        <v>14</v>
      </c>
      <c r="K790" s="44">
        <f>IFERROR(AVERAGE(Data!K793), "  ")</f>
        <v>0.21666666666666667</v>
      </c>
      <c r="L790" s="45">
        <f>IFERROR(AVERAGE(Data!L793), "  ")</f>
        <v>859</v>
      </c>
    </row>
    <row r="791" spans="1:12" x14ac:dyDescent="0.2">
      <c r="A791" s="43"/>
      <c r="B791" s="42">
        <f>IFERROR(AVERAGE(Data!B794), "  ")</f>
        <v>468</v>
      </c>
      <c r="C791" s="42">
        <f>IFERROR(AVERAGE(Data!C794), "  ")</f>
        <v>48</v>
      </c>
      <c r="D791" s="42">
        <f>IFERROR(AVERAGE(Data!D794), "  ")</f>
        <v>91</v>
      </c>
      <c r="E791" s="42">
        <f>IFERROR(AVERAGE(Data!E794), "  ")</f>
        <v>607</v>
      </c>
      <c r="F791" s="42">
        <f>IFERROR(AVERAGE(Data!F794), "  ")</f>
        <v>913</v>
      </c>
      <c r="G791" s="42">
        <f>IFERROR(AVERAGE(Data!G794), "  ")</f>
        <v>306</v>
      </c>
      <c r="H791" s="44">
        <f>IFERROR(AVERAGE(Data!H794), "  ")</f>
        <v>-3.7934668071654375E-2</v>
      </c>
      <c r="I791" s="44">
        <f>IFERROR(AVERAGE(Data!I794), "  ")</f>
        <v>-1.6447368421052631E-3</v>
      </c>
      <c r="J791" s="42">
        <f>IFERROR(AVERAGE(Data!J794), "  ")</f>
        <v>-1</v>
      </c>
      <c r="K791" s="44">
        <f>IFERROR(AVERAGE(Data!K794), "  ")</f>
        <v>0.2438692098092643</v>
      </c>
      <c r="L791" s="45">
        <f>IFERROR(AVERAGE(Data!L794), "  ")</f>
        <v>854</v>
      </c>
    </row>
    <row r="792" spans="1:12" x14ac:dyDescent="0.2">
      <c r="A792" s="43"/>
      <c r="B792" s="42">
        <f>IFERROR(AVERAGE(Data!B795), "  ")</f>
        <v>572</v>
      </c>
      <c r="C792" s="42">
        <f>IFERROR(AVERAGE(Data!C795), "  ")</f>
        <v>47</v>
      </c>
      <c r="D792" s="42">
        <f>IFERROR(AVERAGE(Data!D795), "  ")</f>
        <v>176</v>
      </c>
      <c r="E792" s="42">
        <f>IFERROR(AVERAGE(Data!E795), "  ")</f>
        <v>795</v>
      </c>
      <c r="F792" s="42">
        <f>IFERROR(AVERAGE(Data!F795), "  ")</f>
        <v>990</v>
      </c>
      <c r="G792" s="42">
        <f>IFERROR(AVERAGE(Data!G795), "  ")</f>
        <v>195</v>
      </c>
      <c r="H792" s="44">
        <f>IFERROR(AVERAGE(Data!H795), "  ")</f>
        <v>8.4337349397590355E-2</v>
      </c>
      <c r="I792" s="44">
        <f>IFERROR(AVERAGE(Data!I795), "  ")</f>
        <v>0.30971993410214166</v>
      </c>
      <c r="J792" s="42">
        <f>IFERROR(AVERAGE(Data!J795), "  ")</f>
        <v>188</v>
      </c>
      <c r="K792" s="44">
        <f>IFERROR(AVERAGE(Data!K795), "  ")</f>
        <v>0.15789473684210525</v>
      </c>
      <c r="L792" s="45">
        <f>IFERROR(AVERAGE(Data!L795), "  ")</f>
        <v>863</v>
      </c>
    </row>
    <row r="793" spans="1:12" x14ac:dyDescent="0.2">
      <c r="A793" s="43"/>
      <c r="B793" s="42">
        <f>IFERROR(AVERAGE(Data!B796), "  ")</f>
        <v>545</v>
      </c>
      <c r="C793" s="42">
        <f>IFERROR(AVERAGE(Data!C796), "  ")</f>
        <v>33</v>
      </c>
      <c r="D793" s="42">
        <f>IFERROR(AVERAGE(Data!D796), "  ")</f>
        <v>129</v>
      </c>
      <c r="E793" s="42">
        <f>IFERROR(AVERAGE(Data!E796), "  ")</f>
        <v>707</v>
      </c>
      <c r="F793" s="42">
        <f>IFERROR(AVERAGE(Data!F796), "  ")</f>
        <v>979</v>
      </c>
      <c r="G793" s="42">
        <f>IFERROR(AVERAGE(Data!G796), "  ")</f>
        <v>272</v>
      </c>
      <c r="H793" s="44">
        <f>IFERROR(AVERAGE(Data!H796), "  ")</f>
        <v>-1.1111111111111112E-2</v>
      </c>
      <c r="I793" s="44">
        <f>IFERROR(AVERAGE(Data!I796), "  ")</f>
        <v>-0.11069182389937107</v>
      </c>
      <c r="J793" s="42">
        <f>IFERROR(AVERAGE(Data!J796), "  ")</f>
        <v>-88</v>
      </c>
      <c r="K793" s="44">
        <f>IFERROR(AVERAGE(Data!K796), "  ")</f>
        <v>0.45684523809523808</v>
      </c>
      <c r="L793" s="45">
        <f>IFERROR(AVERAGE(Data!L796), "  ")</f>
        <v>812.66666666666663</v>
      </c>
    </row>
    <row r="794" spans="1:12" x14ac:dyDescent="0.2">
      <c r="A794" s="43"/>
      <c r="B794" s="42">
        <f>IFERROR(AVERAGE(Data!B797), "  ")</f>
        <v>374</v>
      </c>
      <c r="C794" s="42">
        <f>IFERROR(AVERAGE(Data!C797), "  ")</f>
        <v>23</v>
      </c>
      <c r="D794" s="42">
        <f>IFERROR(AVERAGE(Data!D797), "  ")</f>
        <v>125</v>
      </c>
      <c r="E794" s="42">
        <f>IFERROR(AVERAGE(Data!E797), "  ")</f>
        <v>522</v>
      </c>
      <c r="F794" s="42">
        <f>IFERROR(AVERAGE(Data!F797), "  ")</f>
        <v>902</v>
      </c>
      <c r="G794" s="42">
        <f>IFERROR(AVERAGE(Data!G797), "  ")</f>
        <v>380</v>
      </c>
      <c r="H794" s="44">
        <f>IFERROR(AVERAGE(Data!H797), "  ")</f>
        <v>-7.8651685393258425E-2</v>
      </c>
      <c r="I794" s="44">
        <f>IFERROR(AVERAGE(Data!I797), "  ")</f>
        <v>-0.26166902404526166</v>
      </c>
      <c r="J794" s="42">
        <f>IFERROR(AVERAGE(Data!J797), "  ")</f>
        <v>-185</v>
      </c>
      <c r="K794" s="44">
        <f>IFERROR(AVERAGE(Data!K797), "  ")</f>
        <v>2.9680365296803651E-2</v>
      </c>
      <c r="L794" s="45">
        <f>IFERROR(AVERAGE(Data!L797), "  ")</f>
        <v>780.66666666666663</v>
      </c>
    </row>
    <row r="795" spans="1:12" x14ac:dyDescent="0.2">
      <c r="A795" s="43"/>
      <c r="B795" s="42">
        <f>IFERROR(AVERAGE(Data!B798), "  ")</f>
        <v>484</v>
      </c>
      <c r="C795" s="42">
        <f>IFERROR(AVERAGE(Data!C798), "  ")</f>
        <v>31</v>
      </c>
      <c r="D795" s="42">
        <f>IFERROR(AVERAGE(Data!D798), "  ")</f>
        <v>188</v>
      </c>
      <c r="E795" s="42">
        <f>IFERROR(AVERAGE(Data!E798), "  ")</f>
        <v>703</v>
      </c>
      <c r="F795" s="42">
        <f>IFERROR(AVERAGE(Data!F798), "  ")</f>
        <v>1022</v>
      </c>
      <c r="G795" s="42">
        <f>IFERROR(AVERAGE(Data!G798), "  ")</f>
        <v>319</v>
      </c>
      <c r="H795" s="44">
        <f>IFERROR(AVERAGE(Data!H798), "  ")</f>
        <v>0.13303769401330376</v>
      </c>
      <c r="I795" s="44">
        <f>IFERROR(AVERAGE(Data!I798), "  ")</f>
        <v>0.34674329501915707</v>
      </c>
      <c r="J795" s="42">
        <f>IFERROR(AVERAGE(Data!J798), "  ")</f>
        <v>181</v>
      </c>
      <c r="K795" s="44">
        <f>IFERROR(AVERAGE(Data!K798), "  ")</f>
        <v>0.49197080291970802</v>
      </c>
      <c r="L795" s="45">
        <f>IFERROR(AVERAGE(Data!L798), "  ")</f>
        <v>807.66666666666663</v>
      </c>
    </row>
    <row r="796" spans="1:12" x14ac:dyDescent="0.2">
      <c r="A796" s="43"/>
      <c r="B796" s="42">
        <f>IFERROR(AVERAGE(Data!B799), "  ")</f>
        <v>386</v>
      </c>
      <c r="C796" s="42">
        <f>IFERROR(AVERAGE(Data!C799), "  ")</f>
        <v>28</v>
      </c>
      <c r="D796" s="42">
        <f>IFERROR(AVERAGE(Data!D799), "  ")</f>
        <v>203</v>
      </c>
      <c r="E796" s="42">
        <f>IFERROR(AVERAGE(Data!E799), "  ")</f>
        <v>617</v>
      </c>
      <c r="F796" s="42">
        <f>IFERROR(AVERAGE(Data!F799), "  ")</f>
        <v>1092</v>
      </c>
      <c r="G796" s="42">
        <f>IFERROR(AVERAGE(Data!G799), "  ")</f>
        <v>475</v>
      </c>
      <c r="H796" s="44">
        <f>IFERROR(AVERAGE(Data!H799), "  ")</f>
        <v>6.8493150684931503E-2</v>
      </c>
      <c r="I796" s="44">
        <f>IFERROR(AVERAGE(Data!I799), "  ")</f>
        <v>-0.12233285917496443</v>
      </c>
      <c r="J796" s="42">
        <f>IFERROR(AVERAGE(Data!J799), "  ")</f>
        <v>-86</v>
      </c>
      <c r="K796" s="44">
        <f>IFERROR(AVERAGE(Data!K799), "  ")</f>
        <v>0.54674220963172804</v>
      </c>
      <c r="L796" s="45">
        <f>IFERROR(AVERAGE(Data!L799), "  ")</f>
        <v>743.33333333333337</v>
      </c>
    </row>
    <row r="797" spans="1:12" x14ac:dyDescent="0.2">
      <c r="A797" s="43"/>
      <c r="B797" s="42">
        <f>IFERROR(AVERAGE(Data!B800), "  ")</f>
        <v>398</v>
      </c>
      <c r="C797" s="42">
        <f>IFERROR(AVERAGE(Data!C800), "  ")</f>
        <v>28</v>
      </c>
      <c r="D797" s="42">
        <f>IFERROR(AVERAGE(Data!D800), "  ")</f>
        <v>153</v>
      </c>
      <c r="E797" s="42">
        <f>IFERROR(AVERAGE(Data!E800), "  ")</f>
        <v>579</v>
      </c>
      <c r="F797" s="42">
        <f>IFERROR(AVERAGE(Data!F800), "  ")</f>
        <v>919</v>
      </c>
      <c r="G797" s="42">
        <f>IFERROR(AVERAGE(Data!G800), "  ")</f>
        <v>340</v>
      </c>
      <c r="H797" s="44">
        <f>IFERROR(AVERAGE(Data!H800), "  ")</f>
        <v>-0.15842490842490842</v>
      </c>
      <c r="I797" s="44">
        <f>IFERROR(AVERAGE(Data!I800), "  ")</f>
        <v>-6.1588330632090758E-2</v>
      </c>
      <c r="J797" s="42">
        <f>IFERROR(AVERAGE(Data!J800), "  ")</f>
        <v>-38</v>
      </c>
      <c r="K797" s="44">
        <f>IFERROR(AVERAGE(Data!K800), "  ")</f>
        <v>0.56825938566552903</v>
      </c>
      <c r="L797" s="45">
        <f>IFERROR(AVERAGE(Data!L800), "  ")</f>
        <v>713.33333333333337</v>
      </c>
    </row>
    <row r="798" spans="1:12" x14ac:dyDescent="0.2">
      <c r="A798" s="43"/>
      <c r="B798" s="42">
        <f>IFERROR(AVERAGE(Data!B801), "  ")</f>
        <v>260</v>
      </c>
      <c r="C798" s="42">
        <f>IFERROR(AVERAGE(Data!C801), "  ")</f>
        <v>31</v>
      </c>
      <c r="D798" s="42">
        <f>IFERROR(AVERAGE(Data!D801), "  ")</f>
        <v>226</v>
      </c>
      <c r="E798" s="42">
        <f>IFERROR(AVERAGE(Data!E801), "  ")</f>
        <v>517</v>
      </c>
      <c r="F798" s="42">
        <f>IFERROR(AVERAGE(Data!F801), "  ")</f>
        <v>1049</v>
      </c>
      <c r="G798" s="42">
        <f>IFERROR(AVERAGE(Data!G801), "  ")</f>
        <v>532</v>
      </c>
      <c r="H798" s="44">
        <f>IFERROR(AVERAGE(Data!H801), "  ")</f>
        <v>0.14145810663764963</v>
      </c>
      <c r="I798" s="44">
        <f>IFERROR(AVERAGE(Data!I801), "  ")</f>
        <v>-0.10708117443868739</v>
      </c>
      <c r="J798" s="42">
        <f>IFERROR(AVERAGE(Data!J801), "  ")</f>
        <v>-62</v>
      </c>
      <c r="K798" s="44">
        <f>IFERROR(AVERAGE(Data!K801), "  ")</f>
        <v>0.52470930232558144</v>
      </c>
      <c r="L798" s="45">
        <f>IFERROR(AVERAGE(Data!L801), "  ")</f>
        <v>699.33333333333337</v>
      </c>
    </row>
    <row r="799" spans="1:12" x14ac:dyDescent="0.2">
      <c r="A799" s="43"/>
      <c r="B799" s="42">
        <f>IFERROR(AVERAGE(Data!B802), "  ")</f>
        <v>237</v>
      </c>
      <c r="C799" s="42">
        <f>IFERROR(AVERAGE(Data!C802), "  ")</f>
        <v>26</v>
      </c>
      <c r="D799" s="42">
        <f>IFERROR(AVERAGE(Data!D802), "  ")</f>
        <v>146</v>
      </c>
      <c r="E799" s="42">
        <f>IFERROR(AVERAGE(Data!E802), "  ")</f>
        <v>409</v>
      </c>
      <c r="F799" s="42">
        <f>IFERROR(AVERAGE(Data!F802), "  ")</f>
        <v>1058</v>
      </c>
      <c r="G799" s="42">
        <f>IFERROR(AVERAGE(Data!G802), "  ")</f>
        <v>649</v>
      </c>
      <c r="H799" s="44">
        <f>IFERROR(AVERAGE(Data!H802), "  ")</f>
        <v>8.5795996186844616E-3</v>
      </c>
      <c r="I799" s="44">
        <f>IFERROR(AVERAGE(Data!I802), "  ")</f>
        <v>-0.20889748549323017</v>
      </c>
      <c r="J799" s="42">
        <f>IFERROR(AVERAGE(Data!J802), "  ")</f>
        <v>-108</v>
      </c>
      <c r="K799" s="44">
        <f>IFERROR(AVERAGE(Data!K802), "  ")</f>
        <v>0.31102850061957871</v>
      </c>
      <c r="L799" s="45">
        <f>IFERROR(AVERAGE(Data!L802), "  ")</f>
        <v>782.66666666666663</v>
      </c>
    </row>
    <row r="800" spans="1:12" x14ac:dyDescent="0.2">
      <c r="A800" s="43"/>
      <c r="B800" s="42">
        <f>IFERROR(AVERAGE(Data!B803), "  ")</f>
        <v>319</v>
      </c>
      <c r="C800" s="42">
        <f>IFERROR(AVERAGE(Data!C803), "  ")</f>
        <v>51</v>
      </c>
      <c r="D800" s="42">
        <f>IFERROR(AVERAGE(Data!D803), "  ")</f>
        <v>193</v>
      </c>
      <c r="E800" s="42">
        <f>IFERROR(AVERAGE(Data!E803), "  ")</f>
        <v>563</v>
      </c>
      <c r="F800" s="42">
        <f>IFERROR(AVERAGE(Data!F803), "  ")</f>
        <v>968</v>
      </c>
      <c r="G800" s="42">
        <f>IFERROR(AVERAGE(Data!G803), "  ")</f>
        <v>405</v>
      </c>
      <c r="H800" s="44">
        <f>IFERROR(AVERAGE(Data!H803), "  ")</f>
        <v>-8.5066162570888462E-2</v>
      </c>
      <c r="I800" s="44">
        <f>IFERROR(AVERAGE(Data!I803), "  ")</f>
        <v>0.37652811735941322</v>
      </c>
      <c r="J800" s="42">
        <f>IFERROR(AVERAGE(Data!J803), "  ")</f>
        <v>154</v>
      </c>
      <c r="K800" s="44">
        <f>IFERROR(AVERAGE(Data!K803), "  ")</f>
        <v>0.55877616747181968</v>
      </c>
      <c r="L800" s="45">
        <f>IFERROR(AVERAGE(Data!L803), "  ")</f>
        <v>628.66666666666663</v>
      </c>
    </row>
    <row r="801" spans="1:12" x14ac:dyDescent="0.2">
      <c r="A801" s="43"/>
      <c r="B801" s="42">
        <f>IFERROR(AVERAGE(Data!B804), "  ")</f>
        <v>348</v>
      </c>
      <c r="C801" s="42">
        <f>IFERROR(AVERAGE(Data!C804), "  ")</f>
        <v>32</v>
      </c>
      <c r="D801" s="42">
        <f>IFERROR(AVERAGE(Data!D804), "  ")</f>
        <v>301</v>
      </c>
      <c r="E801" s="42">
        <f>IFERROR(AVERAGE(Data!E804), "  ")</f>
        <v>681</v>
      </c>
      <c r="F801" s="42">
        <f>IFERROR(AVERAGE(Data!F804), "  ")</f>
        <v>977</v>
      </c>
      <c r="G801" s="42">
        <f>IFERROR(AVERAGE(Data!G804), "  ")</f>
        <v>296</v>
      </c>
      <c r="H801" s="44">
        <f>IFERROR(AVERAGE(Data!H804), "  ")</f>
        <v>9.2975206611570251E-3</v>
      </c>
      <c r="I801" s="44">
        <f>IFERROR(AVERAGE(Data!I804), "  ")</f>
        <v>0.20959147424511546</v>
      </c>
      <c r="J801" s="42">
        <f>IFERROR(AVERAGE(Data!J804), "  ")</f>
        <v>118</v>
      </c>
      <c r="K801" s="44">
        <f>IFERROR(AVERAGE(Data!K804), "  ")</f>
        <v>0.38581560283687943</v>
      </c>
      <c r="L801" s="45">
        <f>IFERROR(AVERAGE(Data!L804), "  ")</f>
        <v>768.66666666666663</v>
      </c>
    </row>
    <row r="802" spans="1:12" x14ac:dyDescent="0.2">
      <c r="A802" s="43"/>
      <c r="B802" s="42">
        <f>IFERROR(AVERAGE(Data!B805), "  ")</f>
        <v>284</v>
      </c>
      <c r="C802" s="42">
        <f>IFERROR(AVERAGE(Data!C805), "  ")</f>
        <v>48</v>
      </c>
      <c r="D802" s="42">
        <f>IFERROR(AVERAGE(Data!D805), "  ")</f>
        <v>286</v>
      </c>
      <c r="E802" s="42">
        <f>IFERROR(AVERAGE(Data!E805), "  ")</f>
        <v>618</v>
      </c>
      <c r="F802" s="42">
        <f>IFERROR(AVERAGE(Data!F805), "  ")</f>
        <v>894</v>
      </c>
      <c r="G802" s="42">
        <f>IFERROR(AVERAGE(Data!G805), "  ")</f>
        <v>276</v>
      </c>
      <c r="H802" s="44">
        <f>IFERROR(AVERAGE(Data!H805), "  ")</f>
        <v>-8.4953940634595701E-2</v>
      </c>
      <c r="I802" s="44">
        <f>IFERROR(AVERAGE(Data!I805), "  ")</f>
        <v>-9.2511013215859028E-2</v>
      </c>
      <c r="J802" s="42">
        <f>IFERROR(AVERAGE(Data!J805), "  ")</f>
        <v>-63</v>
      </c>
      <c r="K802" s="44">
        <f>IFERROR(AVERAGE(Data!K805), "  ")</f>
        <v>0.53608247422680411</v>
      </c>
      <c r="L802" s="45">
        <f>IFERROR(AVERAGE(Data!L805), "  ")</f>
        <v>787</v>
      </c>
    </row>
    <row r="803" spans="1:12" x14ac:dyDescent="0.2">
      <c r="A803" s="43"/>
      <c r="B803" s="42">
        <f>IFERROR(AVERAGE(Data!B806), "  ")</f>
        <v>184</v>
      </c>
      <c r="C803" s="42">
        <f>IFERROR(AVERAGE(Data!C806), "  ")</f>
        <v>20</v>
      </c>
      <c r="D803" s="42">
        <f>IFERROR(AVERAGE(Data!D806), "  ")</f>
        <v>272</v>
      </c>
      <c r="E803" s="42">
        <f>IFERROR(AVERAGE(Data!E806), "  ")</f>
        <v>476</v>
      </c>
      <c r="F803" s="42">
        <f>IFERROR(AVERAGE(Data!F806), "  ")</f>
        <v>1046</v>
      </c>
      <c r="G803" s="42">
        <f>IFERROR(AVERAGE(Data!G806), "  ")</f>
        <v>570</v>
      </c>
      <c r="H803" s="44">
        <f>IFERROR(AVERAGE(Data!H806), "  ")</f>
        <v>0.17002237136465326</v>
      </c>
      <c r="I803" s="44">
        <f>IFERROR(AVERAGE(Data!I806), "  ")</f>
        <v>-0.22977346278317151</v>
      </c>
      <c r="J803" s="42">
        <f>IFERROR(AVERAGE(Data!J806), "  ")</f>
        <v>-142</v>
      </c>
      <c r="K803" s="44">
        <f>IFERROR(AVERAGE(Data!K806), "  ")</f>
        <v>0.71194762684124391</v>
      </c>
      <c r="L803" s="45">
        <f>IFERROR(AVERAGE(Data!L806), "  ")</f>
        <v>659.33333333333337</v>
      </c>
    </row>
    <row r="804" spans="1:12" x14ac:dyDescent="0.2">
      <c r="A804" s="43"/>
      <c r="B804" s="42">
        <f>IFERROR(AVERAGE(Data!B807), "  ")</f>
        <v>114</v>
      </c>
      <c r="C804" s="42">
        <f>IFERROR(AVERAGE(Data!C807), "  ")</f>
        <v>60</v>
      </c>
      <c r="D804" s="42">
        <f>IFERROR(AVERAGE(Data!D807), "  ")</f>
        <v>229</v>
      </c>
      <c r="E804" s="42">
        <f>IFERROR(AVERAGE(Data!E807), "  ")</f>
        <v>403</v>
      </c>
      <c r="F804" s="42">
        <f>IFERROR(AVERAGE(Data!F807), "  ")</f>
        <v>777</v>
      </c>
      <c r="G804" s="42">
        <f>IFERROR(AVERAGE(Data!G807), "  ")</f>
        <v>374</v>
      </c>
      <c r="H804" s="44">
        <f>IFERROR(AVERAGE(Data!H807), "  ")</f>
        <v>-0.25717017208413001</v>
      </c>
      <c r="I804" s="44">
        <f>IFERROR(AVERAGE(Data!I807), "  ")</f>
        <v>-0.15336134453781514</v>
      </c>
      <c r="J804" s="42">
        <f>IFERROR(AVERAGE(Data!J807), "  ")</f>
        <v>-73</v>
      </c>
      <c r="K804" s="44">
        <f>IFERROR(AVERAGE(Data!K807), "  ")</f>
        <v>0.17905918057663125</v>
      </c>
      <c r="L804" s="45">
        <f>IFERROR(AVERAGE(Data!L807), "  ")</f>
        <v>649.33333333333337</v>
      </c>
    </row>
    <row r="805" spans="1:12" x14ac:dyDescent="0.2">
      <c r="A805" s="43"/>
      <c r="B805" s="42">
        <f>IFERROR(AVERAGE(Data!B808), "  ")</f>
        <v>102</v>
      </c>
      <c r="C805" s="42">
        <f>IFERROR(AVERAGE(Data!C808), "  ")</f>
        <v>10</v>
      </c>
      <c r="D805" s="42">
        <f>IFERROR(AVERAGE(Data!D808), "  ")</f>
        <v>171</v>
      </c>
      <c r="E805" s="42">
        <f>IFERROR(AVERAGE(Data!E808), "  ")</f>
        <v>283</v>
      </c>
      <c r="F805" s="42">
        <f>IFERROR(AVERAGE(Data!F808), "  ")</f>
        <v>674</v>
      </c>
      <c r="G805" s="42">
        <f>IFERROR(AVERAGE(Data!G808), "  ")</f>
        <v>391</v>
      </c>
      <c r="H805" s="44">
        <f>IFERROR(AVERAGE(Data!H808), "  ")</f>
        <v>-0.13256113256113256</v>
      </c>
      <c r="I805" s="44">
        <f>IFERROR(AVERAGE(Data!I808), "  ")</f>
        <v>-0.29776674937965258</v>
      </c>
      <c r="J805" s="42">
        <f>IFERROR(AVERAGE(Data!J808), "  ")</f>
        <v>-120</v>
      </c>
      <c r="K805" s="44">
        <f>IFERROR(AVERAGE(Data!K808), "  ")</f>
        <v>0.2862595419847328</v>
      </c>
      <c r="L805" s="45">
        <f>IFERROR(AVERAGE(Data!L808), "  ")</f>
        <v>652.33333333333337</v>
      </c>
    </row>
    <row r="806" spans="1:12" x14ac:dyDescent="0.2">
      <c r="A806" s="43"/>
      <c r="B806" s="42">
        <f>IFERROR(AVERAGE(Data!B809), "  ")</f>
        <v>144</v>
      </c>
      <c r="C806" s="42">
        <f>IFERROR(AVERAGE(Data!C809), "  ")</f>
        <v>13</v>
      </c>
      <c r="D806" s="42">
        <f>IFERROR(AVERAGE(Data!D809), "  ")</f>
        <v>110</v>
      </c>
      <c r="E806" s="42">
        <f>IFERROR(AVERAGE(Data!E809), "  ")</f>
        <v>267</v>
      </c>
      <c r="F806" s="42">
        <f>IFERROR(AVERAGE(Data!F809), "  ")</f>
        <v>779</v>
      </c>
      <c r="G806" s="42">
        <f>IFERROR(AVERAGE(Data!G809), "  ")</f>
        <v>512</v>
      </c>
      <c r="H806" s="44">
        <f>IFERROR(AVERAGE(Data!H809), "  ")</f>
        <v>0.15578635014836795</v>
      </c>
      <c r="I806" s="44">
        <f>IFERROR(AVERAGE(Data!I809), "  ")</f>
        <v>-5.6537102473498232E-2</v>
      </c>
      <c r="J806" s="42">
        <f>IFERROR(AVERAGE(Data!J809), "  ")</f>
        <v>-16</v>
      </c>
      <c r="K806" s="44">
        <f>IFERROR(AVERAGE(Data!K809), "  ")</f>
        <v>0.62630480167014613</v>
      </c>
      <c r="L806" s="45">
        <f>IFERROR(AVERAGE(Data!L809), "  ")</f>
        <v>581</v>
      </c>
    </row>
    <row r="807" spans="1:12" x14ac:dyDescent="0.2">
      <c r="A807" s="43"/>
      <c r="B807" s="42">
        <f>IFERROR(AVERAGE(Data!B810), "  ")</f>
        <v>286</v>
      </c>
      <c r="C807" s="42">
        <f>IFERROR(AVERAGE(Data!C810), "  ")</f>
        <v>28</v>
      </c>
      <c r="D807" s="42">
        <f>IFERROR(AVERAGE(Data!D810), "  ")</f>
        <v>211</v>
      </c>
      <c r="E807" s="42">
        <f>IFERROR(AVERAGE(Data!E810), "  ")</f>
        <v>525</v>
      </c>
      <c r="F807" s="42">
        <f>IFERROR(AVERAGE(Data!F810), "  ")</f>
        <v>857</v>
      </c>
      <c r="G807" s="42">
        <f>IFERROR(AVERAGE(Data!G810), "  ")</f>
        <v>332</v>
      </c>
      <c r="H807" s="44">
        <f>IFERROR(AVERAGE(Data!H810), "  ")</f>
        <v>0.10012836970474968</v>
      </c>
      <c r="I807" s="44">
        <f>IFERROR(AVERAGE(Data!I810), "  ")</f>
        <v>0.9662921348314607</v>
      </c>
      <c r="J807" s="42">
        <f>IFERROR(AVERAGE(Data!J810), "  ")</f>
        <v>258</v>
      </c>
      <c r="K807" s="44">
        <f>IFERROR(AVERAGE(Data!K810), "  ")</f>
        <v>0.62927756653992395</v>
      </c>
      <c r="L807" s="45">
        <f>IFERROR(AVERAGE(Data!L810), "  ")</f>
        <v>577.66666666666663</v>
      </c>
    </row>
    <row r="808" spans="1:12" x14ac:dyDescent="0.2">
      <c r="A808" s="43"/>
      <c r="B808" s="42">
        <f>IFERROR(AVERAGE(Data!B811), "  ")</f>
        <v>301</v>
      </c>
      <c r="C808" s="42">
        <f>IFERROR(AVERAGE(Data!C811), "  ")</f>
        <v>45</v>
      </c>
      <c r="D808" s="42">
        <f>IFERROR(AVERAGE(Data!D811), "  ")</f>
        <v>166</v>
      </c>
      <c r="E808" s="42">
        <f>IFERROR(AVERAGE(Data!E811), "  ")</f>
        <v>512</v>
      </c>
      <c r="F808" s="42">
        <f>IFERROR(AVERAGE(Data!F811), "  ")</f>
        <v>851</v>
      </c>
      <c r="G808" s="42">
        <f>IFERROR(AVERAGE(Data!G811), "  ")</f>
        <v>339</v>
      </c>
      <c r="H808" s="44">
        <f>IFERROR(AVERAGE(Data!H811), "  ")</f>
        <v>-7.0011668611435242E-3</v>
      </c>
      <c r="I808" s="44">
        <f>IFERROR(AVERAGE(Data!I811), "  ")</f>
        <v>-2.4761904761904763E-2</v>
      </c>
      <c r="J808" s="42">
        <f>IFERROR(AVERAGE(Data!J811), "  ")</f>
        <v>-13</v>
      </c>
      <c r="K808" s="44">
        <f>IFERROR(AVERAGE(Data!K811), "  ")</f>
        <v>0.51423487544483981</v>
      </c>
      <c r="L808" s="45">
        <f>IFERROR(AVERAGE(Data!L811), "  ")</f>
        <v>532.33333333333337</v>
      </c>
    </row>
    <row r="809" spans="1:12" x14ac:dyDescent="0.2">
      <c r="A809" s="43"/>
      <c r="B809" s="42">
        <f>IFERROR(AVERAGE(Data!B812), "  ")</f>
        <v>265</v>
      </c>
      <c r="C809" s="42">
        <f>IFERROR(AVERAGE(Data!C812), "  ")</f>
        <v>13</v>
      </c>
      <c r="D809" s="42">
        <f>IFERROR(AVERAGE(Data!D812), "  ")</f>
        <v>185</v>
      </c>
      <c r="E809" s="42">
        <f>IFERROR(AVERAGE(Data!E812), "  ")</f>
        <v>463</v>
      </c>
      <c r="F809" s="42">
        <f>IFERROR(AVERAGE(Data!F812), "  ")</f>
        <v>767</v>
      </c>
      <c r="G809" s="42">
        <f>IFERROR(AVERAGE(Data!G812), "  ")</f>
        <v>304</v>
      </c>
      <c r="H809" s="44">
        <f>IFERROR(AVERAGE(Data!H812), "  ")</f>
        <v>-9.870740305522914E-2</v>
      </c>
      <c r="I809" s="44">
        <f>IFERROR(AVERAGE(Data!I812), "  ")</f>
        <v>-9.5703125E-2</v>
      </c>
      <c r="J809" s="42">
        <f>IFERROR(AVERAGE(Data!J812), "  ")</f>
        <v>-49</v>
      </c>
      <c r="K809" s="44">
        <f>IFERROR(AVERAGE(Data!K812), "  ")</f>
        <v>0.36720142602495542</v>
      </c>
      <c r="L809" s="45">
        <f>IFERROR(AVERAGE(Data!L812), "  ")</f>
        <v>588.33333333333337</v>
      </c>
    </row>
    <row r="810" spans="1:12" x14ac:dyDescent="0.2">
      <c r="A810" s="43"/>
      <c r="B810" s="42">
        <f>IFERROR(AVERAGE(Data!B813), "  ")</f>
        <v>348</v>
      </c>
      <c r="C810" s="42">
        <f>IFERROR(AVERAGE(Data!C813), "  ")</f>
        <v>41</v>
      </c>
      <c r="D810" s="42">
        <f>IFERROR(AVERAGE(Data!D813), "  ")</f>
        <v>137</v>
      </c>
      <c r="E810" s="42">
        <f>IFERROR(AVERAGE(Data!E813), "  ")</f>
        <v>526</v>
      </c>
      <c r="F810" s="42">
        <f>IFERROR(AVERAGE(Data!F813), "  ")</f>
        <v>624</v>
      </c>
      <c r="G810" s="42">
        <f>IFERROR(AVERAGE(Data!G813), "  ")</f>
        <v>98</v>
      </c>
      <c r="H810" s="44">
        <f>IFERROR(AVERAGE(Data!H813), "  ")</f>
        <v>-0.1864406779661017</v>
      </c>
      <c r="I810" s="44">
        <f>IFERROR(AVERAGE(Data!I813), "  ")</f>
        <v>0.13606911447084233</v>
      </c>
      <c r="J810" s="42">
        <f>IFERROR(AVERAGE(Data!J813), "  ")</f>
        <v>63</v>
      </c>
      <c r="K810" s="44">
        <f>IFERROR(AVERAGE(Data!K813), "  ")</f>
        <v>6.1224489795918366E-2</v>
      </c>
      <c r="L810" s="45">
        <f>IFERROR(AVERAGE(Data!L813), "  ")</f>
        <v>617</v>
      </c>
    </row>
    <row r="811" spans="1:12" x14ac:dyDescent="0.2">
      <c r="A811" s="43"/>
      <c r="B811" s="42">
        <f>IFERROR(AVERAGE(Data!B814), "  ")</f>
        <v>310</v>
      </c>
      <c r="C811" s="42">
        <f>IFERROR(AVERAGE(Data!C814), "  ")</f>
        <v>10</v>
      </c>
      <c r="D811" s="42">
        <f>IFERROR(AVERAGE(Data!D814), "  ")</f>
        <v>177</v>
      </c>
      <c r="E811" s="42">
        <f>IFERROR(AVERAGE(Data!E814), "  ")</f>
        <v>497</v>
      </c>
      <c r="F811" s="42">
        <f>IFERROR(AVERAGE(Data!F814), "  ")</f>
        <v>699</v>
      </c>
      <c r="G811" s="42">
        <f>IFERROR(AVERAGE(Data!G814), "  ")</f>
        <v>202</v>
      </c>
      <c r="H811" s="44">
        <f>IFERROR(AVERAGE(Data!H814), "  ")</f>
        <v>0.1201923076923077</v>
      </c>
      <c r="I811" s="44">
        <f>IFERROR(AVERAGE(Data!I814), "  ")</f>
        <v>-5.5133079847908745E-2</v>
      </c>
      <c r="J811" s="42">
        <f>IFERROR(AVERAGE(Data!J814), "  ")</f>
        <v>-29</v>
      </c>
      <c r="K811" s="44">
        <f>IFERROR(AVERAGE(Data!K814), "  ")</f>
        <v>0.10252365930599369</v>
      </c>
      <c r="L811" s="45">
        <f>IFERROR(AVERAGE(Data!L814), "  ")</f>
        <v>631.66666666666663</v>
      </c>
    </row>
    <row r="812" spans="1:12" x14ac:dyDescent="0.2">
      <c r="A812" s="43"/>
      <c r="B812" s="42">
        <f>IFERROR(AVERAGE(Data!B815), "  ")</f>
        <v>444</v>
      </c>
      <c r="C812" s="42">
        <f>IFERROR(AVERAGE(Data!C815), "  ")</f>
        <v>44</v>
      </c>
      <c r="D812" s="42">
        <f>IFERROR(AVERAGE(Data!D815), "  ")</f>
        <v>117</v>
      </c>
      <c r="E812" s="42">
        <f>IFERROR(AVERAGE(Data!E815), "  ")</f>
        <v>605</v>
      </c>
      <c r="F812" s="42">
        <f>IFERROR(AVERAGE(Data!F815), "  ")</f>
        <v>644</v>
      </c>
      <c r="G812" s="42">
        <f>IFERROR(AVERAGE(Data!G815), "  ")</f>
        <v>39</v>
      </c>
      <c r="H812" s="44">
        <f>IFERROR(AVERAGE(Data!H815), "  ")</f>
        <v>-7.8683834048640919E-2</v>
      </c>
      <c r="I812" s="44">
        <f>IFERROR(AVERAGE(Data!I815), "  ")</f>
        <v>0.21730382293762576</v>
      </c>
      <c r="J812" s="42">
        <f>IFERROR(AVERAGE(Data!J815), "  ")</f>
        <v>108</v>
      </c>
      <c r="K812" s="44">
        <f>IFERROR(AVERAGE(Data!K815), "  ")</f>
        <v>0.17304189435336975</v>
      </c>
      <c r="L812" s="45">
        <f>IFERROR(AVERAGE(Data!L815), "  ")</f>
        <v>607</v>
      </c>
    </row>
    <row r="813" spans="1:12" x14ac:dyDescent="0.2">
      <c r="A813" s="43"/>
      <c r="B813" s="42">
        <f>IFERROR(AVERAGE(Data!B816), "  ")</f>
        <v>415</v>
      </c>
      <c r="C813" s="42">
        <f>IFERROR(AVERAGE(Data!C816), "  ")</f>
        <v>15</v>
      </c>
      <c r="D813" s="42">
        <f>IFERROR(AVERAGE(Data!D816), "  ")</f>
        <v>75</v>
      </c>
      <c r="E813" s="42">
        <f>IFERROR(AVERAGE(Data!E816), "  ")</f>
        <v>505</v>
      </c>
      <c r="F813" s="42">
        <f>IFERROR(AVERAGE(Data!F816), "  ")</f>
        <v>626</v>
      </c>
      <c r="G813" s="42">
        <f>IFERROR(AVERAGE(Data!G816), "  ")</f>
        <v>121</v>
      </c>
      <c r="H813" s="44">
        <f>IFERROR(AVERAGE(Data!H816), "  ")</f>
        <v>-2.7950310559006212E-2</v>
      </c>
      <c r="I813" s="44">
        <f>IFERROR(AVERAGE(Data!I816), "  ")</f>
        <v>-0.16528925619834711</v>
      </c>
      <c r="J813" s="42">
        <f>IFERROR(AVERAGE(Data!J816), "  ")</f>
        <v>-100</v>
      </c>
      <c r="K813" s="44">
        <f>IFERROR(AVERAGE(Data!K816), "  ")</f>
        <v>0.18560606060606061</v>
      </c>
      <c r="L813" s="45">
        <f>IFERROR(AVERAGE(Data!L816), "  ")</f>
        <v>617</v>
      </c>
    </row>
    <row r="814" spans="1:12" x14ac:dyDescent="0.2">
      <c r="A814" s="43"/>
      <c r="B814" s="42">
        <f>IFERROR(AVERAGE(Data!B817), "  ")</f>
        <v>480</v>
      </c>
      <c r="C814" s="42">
        <f>IFERROR(AVERAGE(Data!C817), "  ")</f>
        <v>42</v>
      </c>
      <c r="D814" s="42">
        <f>IFERROR(AVERAGE(Data!D817), "  ")</f>
        <v>75</v>
      </c>
      <c r="E814" s="42">
        <f>IFERROR(AVERAGE(Data!E817), "  ")</f>
        <v>597</v>
      </c>
      <c r="F814" s="42">
        <f>IFERROR(AVERAGE(Data!F817), "  ")</f>
        <v>729</v>
      </c>
      <c r="G814" s="42">
        <f>IFERROR(AVERAGE(Data!G817), "  ")</f>
        <v>132</v>
      </c>
      <c r="H814" s="44">
        <f>IFERROR(AVERAGE(Data!H817), "  ")</f>
        <v>0.16453674121405751</v>
      </c>
      <c r="I814" s="44">
        <f>IFERROR(AVERAGE(Data!I817), "  ")</f>
        <v>0.18217821782178217</v>
      </c>
      <c r="J814" s="42">
        <f>IFERROR(AVERAGE(Data!J817), "  ")</f>
        <v>92</v>
      </c>
      <c r="K814" s="44">
        <f>IFERROR(AVERAGE(Data!K817), "  ")</f>
        <v>0.18923327895595432</v>
      </c>
      <c r="L814" s="45">
        <f>IFERROR(AVERAGE(Data!L817), "  ")</f>
        <v>621.33333333333337</v>
      </c>
    </row>
    <row r="815" spans="1:12" x14ac:dyDescent="0.2">
      <c r="A815" s="43"/>
      <c r="B815" s="42">
        <f>IFERROR(AVERAGE(Data!B818), "  ")</f>
        <v>350</v>
      </c>
      <c r="C815" s="42">
        <f>IFERROR(AVERAGE(Data!C818), "  ")</f>
        <v>19</v>
      </c>
      <c r="D815" s="42">
        <f>IFERROR(AVERAGE(Data!D818), "  ")</f>
        <v>69</v>
      </c>
      <c r="E815" s="42">
        <f>IFERROR(AVERAGE(Data!E818), "  ")</f>
        <v>438</v>
      </c>
      <c r="F815" s="42">
        <f>IFERROR(AVERAGE(Data!F818), "  ")</f>
        <v>809</v>
      </c>
      <c r="G815" s="42">
        <f>IFERROR(AVERAGE(Data!G818), "  ")</f>
        <v>371</v>
      </c>
      <c r="H815" s="44">
        <f>IFERROR(AVERAGE(Data!H818), "  ")</f>
        <v>0.10973936899862825</v>
      </c>
      <c r="I815" s="44">
        <f>IFERROR(AVERAGE(Data!I818), "  ")</f>
        <v>-0.26633165829145727</v>
      </c>
      <c r="J815" s="42">
        <f>IFERROR(AVERAGE(Data!J818), "  ")</f>
        <v>-159</v>
      </c>
      <c r="K815" s="44">
        <f>IFERROR(AVERAGE(Data!K818), "  ")</f>
        <v>0.33719008264462808</v>
      </c>
      <c r="L815" s="45">
        <f>IFERROR(AVERAGE(Data!L818), "  ")</f>
        <v>618</v>
      </c>
    </row>
    <row r="816" spans="1:12" x14ac:dyDescent="0.2">
      <c r="A816" s="43"/>
      <c r="B816" s="42">
        <f>IFERROR(AVERAGE(Data!B819), "  ")</f>
        <v>542</v>
      </c>
      <c r="C816" s="42">
        <f>IFERROR(AVERAGE(Data!C819), "  ")</f>
        <v>16</v>
      </c>
      <c r="D816" s="42">
        <f>IFERROR(AVERAGE(Data!D819), "  ")</f>
        <v>75</v>
      </c>
      <c r="E816" s="42">
        <f>IFERROR(AVERAGE(Data!E819), "  ")</f>
        <v>633</v>
      </c>
      <c r="F816" s="42">
        <f>IFERROR(AVERAGE(Data!F819), "  ")</f>
        <v>765</v>
      </c>
      <c r="G816" s="42">
        <f>IFERROR(AVERAGE(Data!G819), "  ")</f>
        <v>132</v>
      </c>
      <c r="H816" s="44">
        <f>IFERROR(AVERAGE(Data!H819), "  ")</f>
        <v>-5.4388133498145856E-2</v>
      </c>
      <c r="I816" s="44">
        <f>IFERROR(AVERAGE(Data!I819), "  ")</f>
        <v>0.4452054794520548</v>
      </c>
      <c r="J816" s="42">
        <f>IFERROR(AVERAGE(Data!J819), "  ")</f>
        <v>195</v>
      </c>
      <c r="K816" s="44">
        <f>IFERROR(AVERAGE(Data!K819), "  ")</f>
        <v>0.1953125</v>
      </c>
      <c r="L816" s="45">
        <f>IFERROR(AVERAGE(Data!L819), "  ")</f>
        <v>637.33333333333337</v>
      </c>
    </row>
    <row r="817" spans="1:12" x14ac:dyDescent="0.2">
      <c r="A817" s="43"/>
      <c r="B817" s="42">
        <f>IFERROR(AVERAGE(Data!B820), "  ")</f>
        <v>427</v>
      </c>
      <c r="C817" s="42">
        <f>IFERROR(AVERAGE(Data!C820), "  ")</f>
        <v>28</v>
      </c>
      <c r="D817" s="42">
        <f>IFERROR(AVERAGE(Data!D820), "  ")</f>
        <v>80</v>
      </c>
      <c r="E817" s="42">
        <f>IFERROR(AVERAGE(Data!E820), "  ")</f>
        <v>535</v>
      </c>
      <c r="F817" s="42">
        <f>IFERROR(AVERAGE(Data!F820), "  ")</f>
        <v>804</v>
      </c>
      <c r="G817" s="42">
        <f>IFERROR(AVERAGE(Data!G820), "  ")</f>
        <v>269</v>
      </c>
      <c r="H817" s="44">
        <f>IFERROR(AVERAGE(Data!H820), "  ")</f>
        <v>5.0980392156862744E-2</v>
      </c>
      <c r="I817" s="44">
        <f>IFERROR(AVERAGE(Data!I820), "  ")</f>
        <v>-0.15481832543443919</v>
      </c>
      <c r="J817" s="42">
        <f>IFERROR(AVERAGE(Data!J820), "  ")</f>
        <v>-98</v>
      </c>
      <c r="K817" s="44">
        <f>IFERROR(AVERAGE(Data!K820), "  ")</f>
        <v>0.56116504854368932</v>
      </c>
      <c r="L817" s="45">
        <f>IFERROR(AVERAGE(Data!L820), "  ")</f>
        <v>575</v>
      </c>
    </row>
    <row r="818" spans="1:12" x14ac:dyDescent="0.2">
      <c r="A818" s="43"/>
      <c r="B818" s="42">
        <f>IFERROR(AVERAGE(Data!B821), "  ")</f>
        <v>476</v>
      </c>
      <c r="C818" s="42">
        <f>IFERROR(AVERAGE(Data!C821), "  ")</f>
        <v>45</v>
      </c>
      <c r="D818" s="42">
        <f>IFERROR(AVERAGE(Data!D821), "  ")</f>
        <v>57</v>
      </c>
      <c r="E818" s="42">
        <f>IFERROR(AVERAGE(Data!E821), "  ")</f>
        <v>578</v>
      </c>
      <c r="F818" s="42">
        <f>IFERROR(AVERAGE(Data!F821), "  ")</f>
        <v>714</v>
      </c>
      <c r="G818" s="42">
        <f>IFERROR(AVERAGE(Data!G821), "  ")</f>
        <v>136</v>
      </c>
      <c r="H818" s="44">
        <f>IFERROR(AVERAGE(Data!H821), "  ")</f>
        <v>-0.11194029850746269</v>
      </c>
      <c r="I818" s="44">
        <f>IFERROR(AVERAGE(Data!I821), "  ")</f>
        <v>8.0373831775700941E-2</v>
      </c>
      <c r="J818" s="42">
        <f>IFERROR(AVERAGE(Data!J821), "  ")</f>
        <v>43</v>
      </c>
      <c r="K818" s="44">
        <f>IFERROR(AVERAGE(Data!K821), "  ")</f>
        <v>0.10526315789473684</v>
      </c>
      <c r="L818" s="45">
        <f>IFERROR(AVERAGE(Data!L821), "  ")</f>
        <v>595</v>
      </c>
    </row>
    <row r="819" spans="1:12" x14ac:dyDescent="0.2">
      <c r="A819" s="43"/>
      <c r="B819" s="42">
        <f>IFERROR(AVERAGE(Data!B822), "  ")</f>
        <v>438</v>
      </c>
      <c r="C819" s="42">
        <f>IFERROR(AVERAGE(Data!C822), "  ")</f>
        <v>14</v>
      </c>
      <c r="D819" s="42">
        <f>IFERROR(AVERAGE(Data!D822), "  ")</f>
        <v>83</v>
      </c>
      <c r="E819" s="42">
        <f>IFERROR(AVERAGE(Data!E822), "  ")</f>
        <v>535</v>
      </c>
      <c r="F819" s="42">
        <f>IFERROR(AVERAGE(Data!F822), "  ")</f>
        <v>777</v>
      </c>
      <c r="G819" s="42">
        <f>IFERROR(AVERAGE(Data!G822), "  ")</f>
        <v>242</v>
      </c>
      <c r="H819" s="44">
        <f>IFERROR(AVERAGE(Data!H822), "  ")</f>
        <v>8.8235294117647065E-2</v>
      </c>
      <c r="I819" s="44">
        <f>IFERROR(AVERAGE(Data!I822), "  ")</f>
        <v>-7.4394463667820071E-2</v>
      </c>
      <c r="J819" s="42">
        <f>IFERROR(AVERAGE(Data!J822), "  ")</f>
        <v>-43</v>
      </c>
      <c r="K819" s="44">
        <f>IFERROR(AVERAGE(Data!K822), "  ")</f>
        <v>0.26341463414634148</v>
      </c>
      <c r="L819" s="45">
        <f>IFERROR(AVERAGE(Data!L822), "  ")</f>
        <v>578.66666666666663</v>
      </c>
    </row>
    <row r="820" spans="1:12" x14ac:dyDescent="0.2">
      <c r="A820" s="43"/>
      <c r="B820" s="42">
        <f>IFERROR(AVERAGE(Data!B823), "  ")</f>
        <v>589</v>
      </c>
      <c r="C820" s="42">
        <f>IFERROR(AVERAGE(Data!C823), "  ")</f>
        <v>19</v>
      </c>
      <c r="D820" s="42">
        <f>IFERROR(AVERAGE(Data!D823), "  ")</f>
        <v>95</v>
      </c>
      <c r="E820" s="42">
        <f>IFERROR(AVERAGE(Data!E823), "  ")</f>
        <v>703</v>
      </c>
      <c r="F820" s="42">
        <f>IFERROR(AVERAGE(Data!F823), "  ")</f>
        <v>600</v>
      </c>
      <c r="G820" s="42">
        <f>IFERROR(AVERAGE(Data!G823), "  ")</f>
        <v>-103</v>
      </c>
      <c r="H820" s="44">
        <f>IFERROR(AVERAGE(Data!H823), "  ")</f>
        <v>-0.22779922779922779</v>
      </c>
      <c r="I820" s="44">
        <f>IFERROR(AVERAGE(Data!I823), "  ")</f>
        <v>0.31401869158878504</v>
      </c>
      <c r="J820" s="42">
        <f>IFERROR(AVERAGE(Data!J823), "  ")</f>
        <v>168</v>
      </c>
      <c r="K820" s="44">
        <f>IFERROR(AVERAGE(Data!K823), "  ")</f>
        <v>-0.1044776119402985</v>
      </c>
      <c r="L820" s="45">
        <f>IFERROR(AVERAGE(Data!L823), "  ")</f>
        <v>632</v>
      </c>
    </row>
    <row r="821" spans="1:12" x14ac:dyDescent="0.2">
      <c r="A821" s="43"/>
      <c r="B821" s="42">
        <f>IFERROR(AVERAGE(Data!B824), "  ")</f>
        <v>479</v>
      </c>
      <c r="C821" s="42">
        <f>IFERROR(AVERAGE(Data!C824), "  ")</f>
        <v>13</v>
      </c>
      <c r="D821" s="42">
        <f>IFERROR(AVERAGE(Data!D824), "  ")</f>
        <v>31</v>
      </c>
      <c r="E821" s="42">
        <f>IFERROR(AVERAGE(Data!E824), "  ")</f>
        <v>523</v>
      </c>
      <c r="F821" s="42">
        <f>IFERROR(AVERAGE(Data!F824), "  ")</f>
        <v>716</v>
      </c>
      <c r="G821" s="42">
        <f>IFERROR(AVERAGE(Data!G824), "  ")</f>
        <v>193</v>
      </c>
      <c r="H821" s="44">
        <f>IFERROR(AVERAGE(Data!H824), "  ")</f>
        <v>0.19333333333333333</v>
      </c>
      <c r="I821" s="44">
        <f>IFERROR(AVERAGE(Data!I824), "  ")</f>
        <v>-0.25604551920341395</v>
      </c>
      <c r="J821" s="42">
        <f>IFERROR(AVERAGE(Data!J824), "  ")</f>
        <v>-180</v>
      </c>
      <c r="K821" s="44">
        <f>IFERROR(AVERAGE(Data!K824), "  ")</f>
        <v>0.39299610894941633</v>
      </c>
      <c r="L821" s="45">
        <f>IFERROR(AVERAGE(Data!L824), "  ")</f>
        <v>492.66666666666669</v>
      </c>
    </row>
    <row r="822" spans="1:12" x14ac:dyDescent="0.2">
      <c r="A822" s="43"/>
      <c r="B822" s="42">
        <f>IFERROR(AVERAGE(Data!B825), "  ")</f>
        <v>396</v>
      </c>
      <c r="C822" s="42">
        <f>IFERROR(AVERAGE(Data!C825), "  ")</f>
        <v>29</v>
      </c>
      <c r="D822" s="42">
        <f>IFERROR(AVERAGE(Data!D825), "  ")</f>
        <v>64</v>
      </c>
      <c r="E822" s="42">
        <f>IFERROR(AVERAGE(Data!E825), "  ")</f>
        <v>489</v>
      </c>
      <c r="F822" s="42">
        <f>IFERROR(AVERAGE(Data!F825), "  ")</f>
        <v>636</v>
      </c>
      <c r="G822" s="42">
        <f>IFERROR(AVERAGE(Data!G825), "  ")</f>
        <v>147</v>
      </c>
      <c r="H822" s="44">
        <f>IFERROR(AVERAGE(Data!H825), "  ")</f>
        <v>-0.11173184357541899</v>
      </c>
      <c r="I822" s="44">
        <f>IFERROR(AVERAGE(Data!I825), "  ")</f>
        <v>-6.5009560229445512E-2</v>
      </c>
      <c r="J822" s="42">
        <f>IFERROR(AVERAGE(Data!J825), "  ")</f>
        <v>-34</v>
      </c>
      <c r="K822" s="44">
        <f>IFERROR(AVERAGE(Data!K825), "  ")</f>
        <v>-1.5479876160990712E-2</v>
      </c>
      <c r="L822" s="45">
        <f>IFERROR(AVERAGE(Data!L825), "  ")</f>
        <v>572.33333333333337</v>
      </c>
    </row>
    <row r="823" spans="1:12" x14ac:dyDescent="0.2">
      <c r="A823" s="43"/>
      <c r="B823" s="42">
        <f>IFERROR(AVERAGE(Data!B826), "  ")</f>
        <v>421</v>
      </c>
      <c r="C823" s="42">
        <f>IFERROR(AVERAGE(Data!C826), "  ")</f>
        <v>15</v>
      </c>
      <c r="D823" s="42">
        <f>IFERROR(AVERAGE(Data!D826), "  ")</f>
        <v>39</v>
      </c>
      <c r="E823" s="42">
        <f>IFERROR(AVERAGE(Data!E826), "  ")</f>
        <v>475</v>
      </c>
      <c r="F823" s="42">
        <f>IFERROR(AVERAGE(Data!F826), "  ")</f>
        <v>424</v>
      </c>
      <c r="G823" s="42">
        <f>IFERROR(AVERAGE(Data!G826), "  ")</f>
        <v>-51</v>
      </c>
      <c r="H823" s="44">
        <f>IFERROR(AVERAGE(Data!H826), "  ")</f>
        <v>-0.33333333333333331</v>
      </c>
      <c r="I823" s="44">
        <f>IFERROR(AVERAGE(Data!I826), "  ")</f>
        <v>-2.8629856850715747E-2</v>
      </c>
      <c r="J823" s="42">
        <f>IFERROR(AVERAGE(Data!J826), "  ")</f>
        <v>-14</v>
      </c>
      <c r="K823" s="44">
        <f>IFERROR(AVERAGE(Data!K826), "  ")</f>
        <v>-0.32591414944356123</v>
      </c>
      <c r="L823" s="45">
        <f>IFERROR(AVERAGE(Data!L826), "  ")</f>
        <v>597.33333333333337</v>
      </c>
    </row>
    <row r="824" spans="1:12" x14ac:dyDescent="0.2">
      <c r="A824" s="43"/>
      <c r="B824" s="42">
        <f>IFERROR(AVERAGE(Data!B827), "  ")</f>
        <v>435</v>
      </c>
      <c r="C824" s="42">
        <f>IFERROR(AVERAGE(Data!C827), "  ")</f>
        <v>23</v>
      </c>
      <c r="D824" s="42">
        <f>IFERROR(AVERAGE(Data!D827), "  ")</f>
        <v>53</v>
      </c>
      <c r="E824" s="42">
        <f>IFERROR(AVERAGE(Data!E827), "  ")</f>
        <v>511</v>
      </c>
      <c r="F824" s="42">
        <f>IFERROR(AVERAGE(Data!F827), "  ")</f>
        <v>559</v>
      </c>
      <c r="G824" s="42">
        <f>IFERROR(AVERAGE(Data!G827), "  ")</f>
        <v>48</v>
      </c>
      <c r="H824" s="44">
        <f>IFERROR(AVERAGE(Data!H827), "  ")</f>
        <v>0.31839622641509435</v>
      </c>
      <c r="I824" s="44">
        <f>IFERROR(AVERAGE(Data!I827), "  ")</f>
        <v>7.5789473684210532E-2</v>
      </c>
      <c r="J824" s="42">
        <f>IFERROR(AVERAGE(Data!J827), "  ")</f>
        <v>36</v>
      </c>
      <c r="K824" s="44">
        <f>IFERROR(AVERAGE(Data!K827), "  ")</f>
        <v>-0.11968503937007874</v>
      </c>
      <c r="L824" s="45">
        <f>IFERROR(AVERAGE(Data!L827), "  ")</f>
        <v>593</v>
      </c>
    </row>
    <row r="825" spans="1:12" x14ac:dyDescent="0.2">
      <c r="A825" s="43"/>
      <c r="B825" s="42">
        <f>IFERROR(AVERAGE(Data!B828), "  ")</f>
        <v>379</v>
      </c>
      <c r="C825" s="42">
        <f>IFERROR(AVERAGE(Data!C828), "  ")</f>
        <v>18</v>
      </c>
      <c r="D825" s="42">
        <f>IFERROR(AVERAGE(Data!D828), "  ")</f>
        <v>76</v>
      </c>
      <c r="E825" s="42">
        <f>IFERROR(AVERAGE(Data!E828), "  ")</f>
        <v>473</v>
      </c>
      <c r="F825" s="42">
        <f>IFERROR(AVERAGE(Data!F828), "  ")</f>
        <v>533</v>
      </c>
      <c r="G825" s="42">
        <f>IFERROR(AVERAGE(Data!G828), "  ")</f>
        <v>60</v>
      </c>
      <c r="H825" s="44">
        <f>IFERROR(AVERAGE(Data!H828), "  ")</f>
        <v>-4.6511627906976744E-2</v>
      </c>
      <c r="I825" s="44">
        <f>IFERROR(AVERAGE(Data!I828), "  ")</f>
        <v>-7.4363992172211346E-2</v>
      </c>
      <c r="J825" s="42">
        <f>IFERROR(AVERAGE(Data!J828), "  ")</f>
        <v>-38</v>
      </c>
      <c r="K825" s="44">
        <f>IFERROR(AVERAGE(Data!K828), "  ")</f>
        <v>-0.20447761194029851</v>
      </c>
      <c r="L825" s="45">
        <f>IFERROR(AVERAGE(Data!L828), "  ")</f>
        <v>581.66666666666663</v>
      </c>
    </row>
    <row r="826" spans="1:12" x14ac:dyDescent="0.2">
      <c r="A826" s="43"/>
      <c r="B826" s="42">
        <f>IFERROR(AVERAGE(Data!B829), "  ")</f>
        <v>415</v>
      </c>
      <c r="C826" s="42">
        <f>IFERROR(AVERAGE(Data!C829), "  ")</f>
        <v>24</v>
      </c>
      <c r="D826" s="42">
        <f>IFERROR(AVERAGE(Data!D829), "  ")</f>
        <v>60</v>
      </c>
      <c r="E826" s="42">
        <f>IFERROR(AVERAGE(Data!E829), "  ")</f>
        <v>499</v>
      </c>
      <c r="F826" s="42">
        <f>IFERROR(AVERAGE(Data!F829), "  ")</f>
        <v>539</v>
      </c>
      <c r="G826" s="42">
        <f>IFERROR(AVERAGE(Data!G829), "  ")</f>
        <v>40</v>
      </c>
      <c r="H826" s="44">
        <f>IFERROR(AVERAGE(Data!H829), "  ")</f>
        <v>1.125703564727955E-2</v>
      </c>
      <c r="I826" s="44">
        <f>IFERROR(AVERAGE(Data!I829), "  ")</f>
        <v>5.4968287526427059E-2</v>
      </c>
      <c r="J826" s="42">
        <f>IFERROR(AVERAGE(Data!J829), "  ")</f>
        <v>26</v>
      </c>
      <c r="K826" s="44">
        <f>IFERROR(AVERAGE(Data!K829), "  ")</f>
        <v>-8.6440677966101692E-2</v>
      </c>
      <c r="L826" s="45">
        <f>IFERROR(AVERAGE(Data!L829), "  ")</f>
        <v>602.66666666666663</v>
      </c>
    </row>
    <row r="827" spans="1:12" x14ac:dyDescent="0.2">
      <c r="A827" s="43"/>
      <c r="B827" s="42">
        <f>IFERROR(AVERAGE(Data!B830), "  ")</f>
        <v>253</v>
      </c>
      <c r="C827" s="42">
        <f>IFERROR(AVERAGE(Data!C830), "  ")</f>
        <v>32</v>
      </c>
      <c r="D827" s="42">
        <f>IFERROR(AVERAGE(Data!D830), "  ")</f>
        <v>37</v>
      </c>
      <c r="E827" s="42">
        <f>IFERROR(AVERAGE(Data!E830), "  ")</f>
        <v>322</v>
      </c>
      <c r="F827" s="42">
        <f>IFERROR(AVERAGE(Data!F830), "  ")</f>
        <v>701</v>
      </c>
      <c r="G827" s="42">
        <f>IFERROR(AVERAGE(Data!G830), "  ")</f>
        <v>379</v>
      </c>
      <c r="H827" s="44">
        <f>IFERROR(AVERAGE(Data!H830), "  ")</f>
        <v>0.30055658627087201</v>
      </c>
      <c r="I827" s="44">
        <f>IFERROR(AVERAGE(Data!I830), "  ")</f>
        <v>-0.35470941883767537</v>
      </c>
      <c r="J827" s="42">
        <f>IFERROR(AVERAGE(Data!J830), "  ")</f>
        <v>-177</v>
      </c>
      <c r="K827" s="44">
        <f>IFERROR(AVERAGE(Data!K830), "  ")</f>
        <v>0.3102803738317757</v>
      </c>
      <c r="L827" s="45">
        <f>IFERROR(AVERAGE(Data!L830), "  ")</f>
        <v>682.66666666666663</v>
      </c>
    </row>
    <row r="828" spans="1:12" x14ac:dyDescent="0.2">
      <c r="A828" s="43"/>
      <c r="B828" s="42">
        <f>IFERROR(AVERAGE(Data!B831), "  ")</f>
        <v>368</v>
      </c>
      <c r="C828" s="42">
        <f>IFERROR(AVERAGE(Data!C831), "  ")</f>
        <v>21</v>
      </c>
      <c r="D828" s="42">
        <f>IFERROR(AVERAGE(Data!D831), "  ")</f>
        <v>68</v>
      </c>
      <c r="E828" s="42">
        <f>IFERROR(AVERAGE(Data!E831), "  ")</f>
        <v>457</v>
      </c>
      <c r="F828" s="42">
        <f>IFERROR(AVERAGE(Data!F831), "  ")</f>
        <v>650</v>
      </c>
      <c r="G828" s="42">
        <f>IFERROR(AVERAGE(Data!G831), "  ")</f>
        <v>193</v>
      </c>
      <c r="H828" s="44">
        <f>IFERROR(AVERAGE(Data!H831), "  ")</f>
        <v>-7.2753209700427965E-2</v>
      </c>
      <c r="I828" s="44">
        <f>IFERROR(AVERAGE(Data!I831), "  ")</f>
        <v>0.41925465838509318</v>
      </c>
      <c r="J828" s="42">
        <f>IFERROR(AVERAGE(Data!J831), "  ")</f>
        <v>135</v>
      </c>
      <c r="K828" s="44">
        <f>IFERROR(AVERAGE(Data!K831), "  ")</f>
        <v>5.5194805194805192E-2</v>
      </c>
      <c r="L828" s="45">
        <f>IFERROR(AVERAGE(Data!L831), "  ")</f>
        <v>669</v>
      </c>
    </row>
    <row r="829" spans="1:12" x14ac:dyDescent="0.2">
      <c r="A829" s="43"/>
      <c r="B829" s="42">
        <f>IFERROR(AVERAGE(Data!B832), "  ")</f>
        <v>277</v>
      </c>
      <c r="C829" s="42">
        <f>IFERROR(AVERAGE(Data!C832), "  ")</f>
        <v>37</v>
      </c>
      <c r="D829" s="42">
        <f>IFERROR(AVERAGE(Data!D832), "  ")</f>
        <v>45</v>
      </c>
      <c r="E829" s="42">
        <f>IFERROR(AVERAGE(Data!E832), "  ")</f>
        <v>359</v>
      </c>
      <c r="F829" s="42">
        <f>IFERROR(AVERAGE(Data!F832), "  ")</f>
        <v>580</v>
      </c>
      <c r="G829" s="42">
        <f>IFERROR(AVERAGE(Data!G832), "  ")</f>
        <v>221</v>
      </c>
      <c r="H829" s="44">
        <f>IFERROR(AVERAGE(Data!H832), "  ")</f>
        <v>-0.1076923076923077</v>
      </c>
      <c r="I829" s="44">
        <f>IFERROR(AVERAGE(Data!I832), "  ")</f>
        <v>-0.21444201312910285</v>
      </c>
      <c r="J829" s="42">
        <f>IFERROR(AVERAGE(Data!J832), "  ")</f>
        <v>-98</v>
      </c>
      <c r="K829" s="44">
        <f>IFERROR(AVERAGE(Data!K832), "  ")</f>
        <v>-0.2722710163111669</v>
      </c>
      <c r="L829" s="45">
        <f>IFERROR(AVERAGE(Data!L832), "  ")</f>
        <v>723</v>
      </c>
    </row>
    <row r="830" spans="1:12" x14ac:dyDescent="0.2">
      <c r="A830" s="43"/>
      <c r="B830" s="42">
        <f>IFERROR(AVERAGE(Data!B833), "  ")</f>
        <v>253</v>
      </c>
      <c r="C830" s="42">
        <f>IFERROR(AVERAGE(Data!C833), "  ")</f>
        <v>15</v>
      </c>
      <c r="D830" s="42">
        <f>IFERROR(AVERAGE(Data!D833), "  ")</f>
        <v>66</v>
      </c>
      <c r="E830" s="42">
        <f>IFERROR(AVERAGE(Data!E833), "  ")</f>
        <v>334</v>
      </c>
      <c r="F830" s="42">
        <f>IFERROR(AVERAGE(Data!F833), "  ")</f>
        <v>512</v>
      </c>
      <c r="G830" s="42">
        <f>IFERROR(AVERAGE(Data!G833), "  ")</f>
        <v>178</v>
      </c>
      <c r="H830" s="44">
        <f>IFERROR(AVERAGE(Data!H833), "  ")</f>
        <v>-0.11724137931034483</v>
      </c>
      <c r="I830" s="44">
        <f>IFERROR(AVERAGE(Data!I833), "  ")</f>
        <v>-6.9637883008356549E-2</v>
      </c>
      <c r="J830" s="42">
        <f>IFERROR(AVERAGE(Data!J833), "  ")</f>
        <v>-25</v>
      </c>
      <c r="K830" s="44">
        <f>IFERROR(AVERAGE(Data!K833), "  ")</f>
        <v>-0.3024523160762943</v>
      </c>
      <c r="L830" s="45">
        <f>IFERROR(AVERAGE(Data!L833), "  ")</f>
        <v>715.66666666666663</v>
      </c>
    </row>
    <row r="831" spans="1:12" x14ac:dyDescent="0.2">
      <c r="A831" s="43"/>
      <c r="B831" s="42">
        <f>IFERROR(AVERAGE(Data!B834), "  ")</f>
        <v>167</v>
      </c>
      <c r="C831" s="42">
        <f>IFERROR(AVERAGE(Data!C834), "  ")</f>
        <v>33</v>
      </c>
      <c r="D831" s="42">
        <f>IFERROR(AVERAGE(Data!D834), "  ")</f>
        <v>54</v>
      </c>
      <c r="E831" s="42">
        <f>IFERROR(AVERAGE(Data!E834), "  ")</f>
        <v>254</v>
      </c>
      <c r="F831" s="42">
        <f>IFERROR(AVERAGE(Data!F834), "  ")</f>
        <v>487</v>
      </c>
      <c r="G831" s="42">
        <f>IFERROR(AVERAGE(Data!G834), "  ")</f>
        <v>233</v>
      </c>
      <c r="H831" s="44">
        <f>IFERROR(AVERAGE(Data!H834), "  ")</f>
        <v>-4.8828125E-2</v>
      </c>
      <c r="I831" s="44">
        <f>IFERROR(AVERAGE(Data!I834), "  ")</f>
        <v>-0.23952095808383234</v>
      </c>
      <c r="J831" s="42">
        <f>IFERROR(AVERAGE(Data!J834), "  ")</f>
        <v>-80</v>
      </c>
      <c r="K831" s="44">
        <f>IFERROR(AVERAGE(Data!K834), "  ")</f>
        <v>-0.2838235294117647</v>
      </c>
      <c r="L831" s="45">
        <f>IFERROR(AVERAGE(Data!L834), "  ")</f>
        <v>676.33333333333337</v>
      </c>
    </row>
    <row r="832" spans="1:12" x14ac:dyDescent="0.2">
      <c r="A832" s="43"/>
      <c r="B832" s="42">
        <f>IFERROR(AVERAGE(Data!B835), "  ")</f>
        <v>127</v>
      </c>
      <c r="C832" s="42">
        <f>IFERROR(AVERAGE(Data!C835), "  ")</f>
        <v>30</v>
      </c>
      <c r="D832" s="42">
        <f>IFERROR(AVERAGE(Data!D835), "  ")</f>
        <v>28</v>
      </c>
      <c r="E832" s="42">
        <f>IFERROR(AVERAGE(Data!E835), "  ")</f>
        <v>185</v>
      </c>
      <c r="F832" s="42" t="str">
        <f>IFERROR(AVERAGE(Data!F835), "  ")</f>
        <v xml:space="preserve">  </v>
      </c>
      <c r="G832" s="42" t="str">
        <f>IFERROR(AVERAGE(Data!G835), "  ")</f>
        <v xml:space="preserve">  </v>
      </c>
      <c r="H832" s="44" t="str">
        <f>IFERROR(AVERAGE(Data!H835), "  ")</f>
        <v xml:space="preserve">  </v>
      </c>
      <c r="I832" s="44">
        <f>IFERROR(AVERAGE(Data!I835), "  ")</f>
        <v>-0.27165354330708663</v>
      </c>
      <c r="J832" s="42">
        <f>IFERROR(AVERAGE(Data!J835), "  ")</f>
        <v>-69</v>
      </c>
      <c r="K832" s="44" t="str">
        <f>IFERROR(AVERAGE(Data!K835), "  ")</f>
        <v xml:space="preserve">  </v>
      </c>
      <c r="L832" s="45">
        <f>IFERROR(AVERAGE(Data!L835), "  ")</f>
        <v>599.33333333333337</v>
      </c>
    </row>
    <row r="833" spans="1:12" x14ac:dyDescent="0.2">
      <c r="A833" s="43"/>
      <c r="B833" s="42">
        <f>IFERROR(AVERAGE(Data!B836), "  ")</f>
        <v>122</v>
      </c>
      <c r="C833" s="42">
        <f>IFERROR(AVERAGE(Data!C836), "  ")</f>
        <v>0</v>
      </c>
      <c r="D833" s="42">
        <f>IFERROR(AVERAGE(Data!D836), "  ")</f>
        <v>75</v>
      </c>
      <c r="E833" s="42">
        <f>IFERROR(AVERAGE(Data!E836), "  ")</f>
        <v>197</v>
      </c>
      <c r="F833" s="42" t="str">
        <f>IFERROR(AVERAGE(Data!F836), "  ")</f>
        <v xml:space="preserve">  </v>
      </c>
      <c r="G833" s="42" t="str">
        <f>IFERROR(AVERAGE(Data!G836), "  ")</f>
        <v xml:space="preserve">  </v>
      </c>
      <c r="H833" s="44" t="str">
        <f>IFERROR(AVERAGE(Data!H836), "  ")</f>
        <v xml:space="preserve">  </v>
      </c>
      <c r="I833" s="44">
        <f>IFERROR(AVERAGE(Data!I836), "  ")</f>
        <v>6.4864864864864868E-2</v>
      </c>
      <c r="J833" s="42">
        <f>IFERROR(AVERAGE(Data!J836), "  ")</f>
        <v>12</v>
      </c>
      <c r="K833" s="44" t="str">
        <f>IFERROR(AVERAGE(Data!K836), "  ")</f>
        <v xml:space="preserve">  </v>
      </c>
      <c r="L833" s="45">
        <f>IFERROR(AVERAGE(Data!L836), "  ")</f>
        <v>741.66666666666663</v>
      </c>
    </row>
    <row r="834" spans="1:12" x14ac:dyDescent="0.2">
      <c r="A834" s="43"/>
      <c r="B834" s="42">
        <f>IFERROR(AVERAGE(Data!B837), "  ")</f>
        <v>54</v>
      </c>
      <c r="C834" s="42">
        <f>IFERROR(AVERAGE(Data!C837), "  ")</f>
        <v>35</v>
      </c>
      <c r="D834" s="42">
        <f>IFERROR(AVERAGE(Data!D837), "  ")</f>
        <v>25</v>
      </c>
      <c r="E834" s="42">
        <f>IFERROR(AVERAGE(Data!E837), "  ")</f>
        <v>114</v>
      </c>
      <c r="F834" s="42" t="str">
        <f>IFERROR(AVERAGE(Data!F837), "  ")</f>
        <v xml:space="preserve">  </v>
      </c>
      <c r="G834" s="42" t="str">
        <f>IFERROR(AVERAGE(Data!G837), "  ")</f>
        <v xml:space="preserve">  </v>
      </c>
      <c r="H834" s="44" t="str">
        <f>IFERROR(AVERAGE(Data!H837), "  ")</f>
        <v xml:space="preserve">  </v>
      </c>
      <c r="I834" s="44">
        <f>IFERROR(AVERAGE(Data!I837), "  ")</f>
        <v>-0.42131979695431471</v>
      </c>
      <c r="J834" s="42">
        <f>IFERROR(AVERAGE(Data!J837), "  ")</f>
        <v>-83</v>
      </c>
      <c r="K834" s="44" t="str">
        <f>IFERROR(AVERAGE(Data!K837), "  ")</f>
        <v xml:space="preserve">  </v>
      </c>
      <c r="L834" s="45">
        <f>IFERROR(AVERAGE(Data!L837), "  ")</f>
        <v>688</v>
      </c>
    </row>
    <row r="835" spans="1:12" x14ac:dyDescent="0.2">
      <c r="A835" s="43"/>
      <c r="B835" s="42">
        <f>IFERROR(AVERAGE(Data!B838), "  ")</f>
        <v>35</v>
      </c>
      <c r="C835" s="42">
        <f>IFERROR(AVERAGE(Data!C838), "  ")</f>
        <v>38</v>
      </c>
      <c r="D835" s="42">
        <f>IFERROR(AVERAGE(Data!D838), "  ")</f>
        <v>41</v>
      </c>
      <c r="E835" s="42">
        <f>IFERROR(AVERAGE(Data!E838), "  ")</f>
        <v>114</v>
      </c>
      <c r="F835" s="42">
        <f>IFERROR(AVERAGE(Data!F838), "  ")</f>
        <v>256</v>
      </c>
      <c r="G835" s="42">
        <f>IFERROR(AVERAGE(Data!G838), "  ")</f>
        <v>142</v>
      </c>
      <c r="H835" s="44" t="str">
        <f>IFERROR(AVERAGE(Data!H838), "  ")</f>
        <v xml:space="preserve">  </v>
      </c>
      <c r="I835" s="44">
        <f>IFERROR(AVERAGE(Data!I838), "  ")</f>
        <v>0</v>
      </c>
      <c r="J835" s="42">
        <f>IFERROR(AVERAGE(Data!J838), "  ")</f>
        <v>0</v>
      </c>
      <c r="K835" s="44">
        <f>IFERROR(AVERAGE(Data!K838), "  ")</f>
        <v>-0.59748427672955973</v>
      </c>
      <c r="L835" s="45">
        <f>IFERROR(AVERAGE(Data!L838), "  ")</f>
        <v>670.33333333333337</v>
      </c>
    </row>
    <row r="836" spans="1:12" x14ac:dyDescent="0.2">
      <c r="A836" s="43"/>
      <c r="B836" s="42">
        <f>IFERROR(AVERAGE(Data!B839), "  ")</f>
        <v>23</v>
      </c>
      <c r="C836" s="42">
        <f>IFERROR(AVERAGE(Data!C839), "  ")</f>
        <v>29</v>
      </c>
      <c r="D836" s="42">
        <f>IFERROR(AVERAGE(Data!D839), "  ")</f>
        <v>60</v>
      </c>
      <c r="E836" s="42">
        <f>IFERROR(AVERAGE(Data!E839), "  ")</f>
        <v>112</v>
      </c>
      <c r="F836" s="42">
        <f>IFERROR(AVERAGE(Data!F839), "  ")</f>
        <v>391</v>
      </c>
      <c r="G836" s="42">
        <f>IFERROR(AVERAGE(Data!G839), "  ")</f>
        <v>279</v>
      </c>
      <c r="H836" s="44">
        <f>IFERROR(AVERAGE(Data!H839), "  ")</f>
        <v>0.52734375</v>
      </c>
      <c r="I836" s="44">
        <f>IFERROR(AVERAGE(Data!I839), "  ")</f>
        <v>-1.7543859649122806E-2</v>
      </c>
      <c r="J836" s="42">
        <f>IFERROR(AVERAGE(Data!J839), "  ")</f>
        <v>-2</v>
      </c>
      <c r="K836" s="44">
        <f>IFERROR(AVERAGE(Data!K839), "  ")</f>
        <v>-0.4508426966292135</v>
      </c>
      <c r="L836" s="45">
        <f>IFERROR(AVERAGE(Data!L839), "  ")</f>
        <v>717</v>
      </c>
    </row>
    <row r="837" spans="1:12" x14ac:dyDescent="0.2">
      <c r="A837" s="43"/>
      <c r="B837" s="42">
        <f>IFERROR(AVERAGE(Data!B840), "  ")</f>
        <v>103</v>
      </c>
      <c r="C837" s="42">
        <f>IFERROR(AVERAGE(Data!C840), "  ")</f>
        <v>31</v>
      </c>
      <c r="D837" s="42">
        <f>IFERROR(AVERAGE(Data!D840), "  ")</f>
        <v>161</v>
      </c>
      <c r="E837" s="42">
        <f>IFERROR(AVERAGE(Data!E840), "  ")</f>
        <v>295</v>
      </c>
      <c r="F837" s="42">
        <f>IFERROR(AVERAGE(Data!F840), "  ")</f>
        <v>637</v>
      </c>
      <c r="G837" s="42">
        <f>IFERROR(AVERAGE(Data!G840), "  ")</f>
        <v>342</v>
      </c>
      <c r="H837" s="44">
        <f>IFERROR(AVERAGE(Data!H840), "  ")</f>
        <v>0.62915601023017897</v>
      </c>
      <c r="I837" s="44">
        <f>IFERROR(AVERAGE(Data!I840), "  ")</f>
        <v>1.6339285714285714</v>
      </c>
      <c r="J837" s="42">
        <f>IFERROR(AVERAGE(Data!J840), "  ")</f>
        <v>183</v>
      </c>
      <c r="K837" s="44">
        <f>IFERROR(AVERAGE(Data!K840), "  ")</f>
        <v>-0.3023001095290252</v>
      </c>
      <c r="L837" s="45">
        <f>IFERROR(AVERAGE(Data!L840), "  ")</f>
        <v>794</v>
      </c>
    </row>
    <row r="838" spans="1:12" x14ac:dyDescent="0.2">
      <c r="A838" s="43"/>
      <c r="B838" s="42">
        <f>IFERROR(AVERAGE(Data!B841), "  ")</f>
        <v>199</v>
      </c>
      <c r="C838" s="42">
        <f>IFERROR(AVERAGE(Data!C841), "  ")</f>
        <v>14</v>
      </c>
      <c r="D838" s="42">
        <f>IFERROR(AVERAGE(Data!D841), "  ")</f>
        <v>147</v>
      </c>
      <c r="E838" s="42">
        <f>IFERROR(AVERAGE(Data!E841), "  ")</f>
        <v>360</v>
      </c>
      <c r="F838" s="42">
        <f>IFERROR(AVERAGE(Data!F841), "  ")</f>
        <v>747</v>
      </c>
      <c r="G838" s="42">
        <f>IFERROR(AVERAGE(Data!G841), "  ")</f>
        <v>387</v>
      </c>
      <c r="H838" s="44">
        <f>IFERROR(AVERAGE(Data!H841), "  ")</f>
        <v>0.17268445839874411</v>
      </c>
      <c r="I838" s="44">
        <f>IFERROR(AVERAGE(Data!I841), "  ")</f>
        <v>0.22033898305084745</v>
      </c>
      <c r="J838" s="42">
        <f>IFERROR(AVERAGE(Data!J841), "  ")</f>
        <v>65</v>
      </c>
      <c r="K838" s="44">
        <f>IFERROR(AVERAGE(Data!K841), "  ")</f>
        <v>-1.5810276679841896E-2</v>
      </c>
      <c r="L838" s="45">
        <f>IFERROR(AVERAGE(Data!L841), "  ")</f>
        <v>797</v>
      </c>
    </row>
    <row r="839" spans="1:12" x14ac:dyDescent="0.2">
      <c r="A839" s="43"/>
      <c r="B839" s="42">
        <f>IFERROR(AVERAGE(Data!B842), "  ")</f>
        <v>325</v>
      </c>
      <c r="C839" s="42">
        <f>IFERROR(AVERAGE(Data!C842), "  ")</f>
        <v>37</v>
      </c>
      <c r="D839" s="42">
        <f>IFERROR(AVERAGE(Data!D842), "  ")</f>
        <v>148</v>
      </c>
      <c r="E839" s="42">
        <f>IFERROR(AVERAGE(Data!E842), "  ")</f>
        <v>510</v>
      </c>
      <c r="F839" s="42">
        <f>IFERROR(AVERAGE(Data!F842), "  ")</f>
        <v>772</v>
      </c>
      <c r="G839" s="42">
        <f>IFERROR(AVERAGE(Data!G842), "  ")</f>
        <v>262</v>
      </c>
      <c r="H839" s="44">
        <f>IFERROR(AVERAGE(Data!H842), "  ")</f>
        <v>3.3467202141900937E-2</v>
      </c>
      <c r="I839" s="44">
        <f>IFERROR(AVERAGE(Data!I842), "  ")</f>
        <v>0.41666666666666669</v>
      </c>
      <c r="J839" s="42">
        <f>IFERROR(AVERAGE(Data!J842), "  ")</f>
        <v>150</v>
      </c>
      <c r="K839" s="44">
        <f>IFERROR(AVERAGE(Data!K842), "  ")</f>
        <v>-0.17256162915326903</v>
      </c>
      <c r="L839" s="45">
        <f>IFERROR(AVERAGE(Data!L842), "  ")</f>
        <v>856.33333333333337</v>
      </c>
    </row>
    <row r="840" spans="1:12" x14ac:dyDescent="0.2">
      <c r="A840" s="43"/>
      <c r="B840" s="42">
        <f>IFERROR(AVERAGE(Data!B843), "  ")</f>
        <v>208</v>
      </c>
      <c r="C840" s="42">
        <f>IFERROR(AVERAGE(Data!C843), "  ")</f>
        <v>28</v>
      </c>
      <c r="D840" s="42">
        <f>IFERROR(AVERAGE(Data!D843), "  ")</f>
        <v>129</v>
      </c>
      <c r="E840" s="42">
        <f>IFERROR(AVERAGE(Data!E843), "  ")</f>
        <v>365</v>
      </c>
      <c r="F840" s="42">
        <f>IFERROR(AVERAGE(Data!F843), "  ")</f>
        <v>762</v>
      </c>
      <c r="G840" s="42">
        <f>IFERROR(AVERAGE(Data!G843), "  ")</f>
        <v>397</v>
      </c>
      <c r="H840" s="44">
        <f>IFERROR(AVERAGE(Data!H843), "  ")</f>
        <v>-1.2953367875647668E-2</v>
      </c>
      <c r="I840" s="44">
        <f>IFERROR(AVERAGE(Data!I843), "  ")</f>
        <v>-0.28431372549019607</v>
      </c>
      <c r="J840" s="42">
        <f>IFERROR(AVERAGE(Data!J843), "  ")</f>
        <v>-145</v>
      </c>
      <c r="K840" s="44">
        <f>IFERROR(AVERAGE(Data!K843), "  ")</f>
        <v>-0.22403258655804481</v>
      </c>
      <c r="L840" s="45">
        <f>IFERROR(AVERAGE(Data!L843), "  ")</f>
        <v>756.66666666666663</v>
      </c>
    </row>
    <row r="841" spans="1:12" x14ac:dyDescent="0.2">
      <c r="A841" s="43"/>
      <c r="B841" s="42">
        <f>IFERROR(AVERAGE(Data!B844), "  ")</f>
        <v>295</v>
      </c>
      <c r="C841" s="42">
        <f>IFERROR(AVERAGE(Data!C844), "  ")</f>
        <v>36</v>
      </c>
      <c r="D841" s="42">
        <f>IFERROR(AVERAGE(Data!D844), "  ")</f>
        <v>190</v>
      </c>
      <c r="E841" s="42">
        <f>IFERROR(AVERAGE(Data!E844), "  ")</f>
        <v>521</v>
      </c>
      <c r="F841" s="42">
        <f>IFERROR(AVERAGE(Data!F844), "  ")</f>
        <v>794</v>
      </c>
      <c r="G841" s="42">
        <f>IFERROR(AVERAGE(Data!G844), "  ")</f>
        <v>273</v>
      </c>
      <c r="H841" s="44">
        <f>IFERROR(AVERAGE(Data!H844), "  ")</f>
        <v>4.1994750656167978E-2</v>
      </c>
      <c r="I841" s="44">
        <f>IFERROR(AVERAGE(Data!I844), "  ")</f>
        <v>0.42739726027397262</v>
      </c>
      <c r="J841" s="42">
        <f>IFERROR(AVERAGE(Data!J844), "  ")</f>
        <v>156</v>
      </c>
      <c r="K841" s="44">
        <f>IFERROR(AVERAGE(Data!K844), "  ")</f>
        <v>0.10584958217270195</v>
      </c>
      <c r="L841" s="45">
        <f>IFERROR(AVERAGE(Data!L844), "  ")</f>
        <v>739</v>
      </c>
    </row>
    <row r="842" spans="1:12" x14ac:dyDescent="0.2">
      <c r="A842" s="43"/>
      <c r="B842" s="42">
        <f>IFERROR(AVERAGE(Data!B845), "  ")</f>
        <v>229</v>
      </c>
      <c r="C842" s="42">
        <f>IFERROR(AVERAGE(Data!C845), "  ")</f>
        <v>30</v>
      </c>
      <c r="D842" s="42">
        <f>IFERROR(AVERAGE(Data!D845), "  ")</f>
        <v>118</v>
      </c>
      <c r="E842" s="42">
        <f>IFERROR(AVERAGE(Data!E845), "  ")</f>
        <v>377</v>
      </c>
      <c r="F842" s="42">
        <f>IFERROR(AVERAGE(Data!F845), "  ")</f>
        <v>878</v>
      </c>
      <c r="G842" s="42">
        <f>IFERROR(AVERAGE(Data!G845), "  ")</f>
        <v>501</v>
      </c>
      <c r="H842" s="44">
        <f>IFERROR(AVERAGE(Data!H845), "  ")</f>
        <v>0.10579345088161209</v>
      </c>
      <c r="I842" s="44">
        <f>IFERROR(AVERAGE(Data!I845), "  ")</f>
        <v>-0.27639155470249521</v>
      </c>
      <c r="J842" s="42">
        <f>IFERROR(AVERAGE(Data!J845), "  ")</f>
        <v>-144</v>
      </c>
      <c r="K842" s="44">
        <f>IFERROR(AVERAGE(Data!K845), "  ")</f>
        <v>-7.4815595363540571E-2</v>
      </c>
      <c r="L842" s="45">
        <f>IFERROR(AVERAGE(Data!L845), "  ")</f>
        <v>831.66666666666663</v>
      </c>
    </row>
    <row r="843" spans="1:12" x14ac:dyDescent="0.2">
      <c r="A843" s="43"/>
      <c r="B843" s="42">
        <f>IFERROR(AVERAGE(Data!B846), "  ")</f>
        <v>375</v>
      </c>
      <c r="C843" s="42">
        <f>IFERROR(AVERAGE(Data!C846), "  ")</f>
        <v>36</v>
      </c>
      <c r="D843" s="42">
        <f>IFERROR(AVERAGE(Data!D846), "  ")</f>
        <v>146</v>
      </c>
      <c r="E843" s="42">
        <f>IFERROR(AVERAGE(Data!E846), "  ")</f>
        <v>557</v>
      </c>
      <c r="F843" s="42">
        <f>IFERROR(AVERAGE(Data!F846), "  ")</f>
        <v>908</v>
      </c>
      <c r="G843" s="42">
        <f>IFERROR(AVERAGE(Data!G846), "  ")</f>
        <v>351</v>
      </c>
      <c r="H843" s="44">
        <f>IFERROR(AVERAGE(Data!H846), "  ")</f>
        <v>3.4168564920273349E-2</v>
      </c>
      <c r="I843" s="44">
        <f>IFERROR(AVERAGE(Data!I846), "  ")</f>
        <v>0.47745358090185674</v>
      </c>
      <c r="J843" s="42">
        <f>IFERROR(AVERAGE(Data!J846), "  ")</f>
        <v>180</v>
      </c>
      <c r="K843" s="44">
        <f>IFERROR(AVERAGE(Data!K846), "  ")</f>
        <v>-5.4764512595837896E-3</v>
      </c>
      <c r="L843" s="45">
        <f>IFERROR(AVERAGE(Data!L846), "  ")</f>
        <v>814</v>
      </c>
    </row>
    <row r="844" spans="1:12" x14ac:dyDescent="0.2">
      <c r="A844" s="43"/>
      <c r="B844" s="42">
        <f>IFERROR(AVERAGE(Data!B847), "  ")</f>
        <v>311</v>
      </c>
      <c r="C844" s="42">
        <f>IFERROR(AVERAGE(Data!C847), "  ")</f>
        <v>12</v>
      </c>
      <c r="D844" s="42">
        <f>IFERROR(AVERAGE(Data!D847), "  ")</f>
        <v>174</v>
      </c>
      <c r="E844" s="42">
        <f>IFERROR(AVERAGE(Data!E847), "  ")</f>
        <v>497</v>
      </c>
      <c r="F844" s="42">
        <f>IFERROR(AVERAGE(Data!F847), "  ")</f>
        <v>891</v>
      </c>
      <c r="G844" s="42">
        <f>IFERROR(AVERAGE(Data!G847), "  ")</f>
        <v>394</v>
      </c>
      <c r="H844" s="44">
        <f>IFERROR(AVERAGE(Data!H847), "  ")</f>
        <v>-1.8722466960352423E-2</v>
      </c>
      <c r="I844" s="44">
        <f>IFERROR(AVERAGE(Data!I847), "  ")</f>
        <v>-0.10771992818671454</v>
      </c>
      <c r="J844" s="42">
        <f>IFERROR(AVERAGE(Data!J847), "  ")</f>
        <v>-60</v>
      </c>
      <c r="K844" s="44">
        <f>IFERROR(AVERAGE(Data!K847), "  ")</f>
        <v>-0.1</v>
      </c>
      <c r="L844" s="45">
        <f>IFERROR(AVERAGE(Data!L847), "  ")</f>
        <v>903</v>
      </c>
    </row>
    <row r="845" spans="1:12" x14ac:dyDescent="0.2">
      <c r="A845" s="43"/>
      <c r="B845" s="42">
        <f>IFERROR(AVERAGE(Data!B848), "  ")</f>
        <v>252</v>
      </c>
      <c r="C845" s="42">
        <f>IFERROR(AVERAGE(Data!C848), "  ")</f>
        <v>35</v>
      </c>
      <c r="D845" s="42">
        <f>IFERROR(AVERAGE(Data!D848), "  ")</f>
        <v>138</v>
      </c>
      <c r="E845" s="42">
        <f>IFERROR(AVERAGE(Data!E848), "  ")</f>
        <v>425</v>
      </c>
      <c r="F845" s="42">
        <f>IFERROR(AVERAGE(Data!F848), "  ")</f>
        <v>908</v>
      </c>
      <c r="G845" s="42">
        <f>IFERROR(AVERAGE(Data!G848), "  ")</f>
        <v>483</v>
      </c>
      <c r="H845" s="44">
        <f>IFERROR(AVERAGE(Data!H848), "  ")</f>
        <v>1.9079685746352413E-2</v>
      </c>
      <c r="I845" s="44">
        <f>IFERROR(AVERAGE(Data!I848), "  ")</f>
        <v>-0.14486921529175051</v>
      </c>
      <c r="J845" s="42">
        <f>IFERROR(AVERAGE(Data!J848), "  ")</f>
        <v>-72</v>
      </c>
      <c r="K845" s="44">
        <f>IFERROR(AVERAGE(Data!K848), "  ")</f>
        <v>-7.2522982635342181E-2</v>
      </c>
      <c r="L845" s="45">
        <f>IFERROR(AVERAGE(Data!L848), "  ")</f>
        <v>851.33333333333337</v>
      </c>
    </row>
    <row r="846" spans="1:12" x14ac:dyDescent="0.2">
      <c r="A846" s="43"/>
      <c r="B846" s="42">
        <f>IFERROR(AVERAGE(Data!B849), "  ")</f>
        <v>413</v>
      </c>
      <c r="C846" s="42">
        <f>IFERROR(AVERAGE(Data!C849), "  ")</f>
        <v>26</v>
      </c>
      <c r="D846" s="42">
        <f>IFERROR(AVERAGE(Data!D849), "  ")</f>
        <v>102</v>
      </c>
      <c r="E846" s="42">
        <f>IFERROR(AVERAGE(Data!E849), "  ")</f>
        <v>541</v>
      </c>
      <c r="F846" s="42">
        <f>IFERROR(AVERAGE(Data!F849), "  ")</f>
        <v>749</v>
      </c>
      <c r="G846" s="42">
        <f>IFERROR(AVERAGE(Data!G849), "  ")</f>
        <v>208</v>
      </c>
      <c r="H846" s="44">
        <f>IFERROR(AVERAGE(Data!H849), "  ")</f>
        <v>-0.17511013215859031</v>
      </c>
      <c r="I846" s="44">
        <f>IFERROR(AVERAGE(Data!I849), "  ")</f>
        <v>0.27294117647058824</v>
      </c>
      <c r="J846" s="42">
        <f>IFERROR(AVERAGE(Data!J849), "  ")</f>
        <v>116</v>
      </c>
      <c r="K846" s="44">
        <f>IFERROR(AVERAGE(Data!K849), "  ")</f>
        <v>-0.1696230598669623</v>
      </c>
      <c r="L846" s="45">
        <f>IFERROR(AVERAGE(Data!L849), "  ")</f>
        <v>856</v>
      </c>
    </row>
    <row r="847" spans="1:12" x14ac:dyDescent="0.2">
      <c r="A847" s="43"/>
      <c r="B847" s="42">
        <f>IFERROR(AVERAGE(Data!B850), "  ")</f>
        <v>287</v>
      </c>
      <c r="C847" s="42">
        <f>IFERROR(AVERAGE(Data!C850), "  ")</f>
        <v>26</v>
      </c>
      <c r="D847" s="42">
        <f>IFERROR(AVERAGE(Data!D850), "  ")</f>
        <v>180</v>
      </c>
      <c r="E847" s="42">
        <f>IFERROR(AVERAGE(Data!E850), "  ")</f>
        <v>493</v>
      </c>
      <c r="F847" s="42">
        <f>IFERROR(AVERAGE(Data!F850), "  ")</f>
        <v>745</v>
      </c>
      <c r="G847" s="42">
        <f>IFERROR(AVERAGE(Data!G850), "  ")</f>
        <v>252</v>
      </c>
      <c r="H847" s="44">
        <f>IFERROR(AVERAGE(Data!H850), "  ")</f>
        <v>-5.3404539385847796E-3</v>
      </c>
      <c r="I847" s="44">
        <f>IFERROR(AVERAGE(Data!I850), "  ")</f>
        <v>-8.8724584103512014E-2</v>
      </c>
      <c r="J847" s="42">
        <f>IFERROR(AVERAGE(Data!J850), "  ")</f>
        <v>-48</v>
      </c>
      <c r="K847" s="44">
        <f>IFERROR(AVERAGE(Data!K850), "  ")</f>
        <v>-0.27103718199608612</v>
      </c>
      <c r="L847" s="45">
        <f>IFERROR(AVERAGE(Data!L850), "  ")</f>
        <v>841</v>
      </c>
    </row>
    <row r="848" spans="1:12" x14ac:dyDescent="0.2">
      <c r="A848" s="43"/>
      <c r="B848" s="42">
        <f>IFERROR(AVERAGE(Data!B851), "  ")</f>
        <v>348</v>
      </c>
      <c r="C848" s="42">
        <f>IFERROR(AVERAGE(Data!C851), "  ")</f>
        <v>46</v>
      </c>
      <c r="D848" s="42">
        <f>IFERROR(AVERAGE(Data!D851), "  ")</f>
        <v>130</v>
      </c>
      <c r="E848" s="42">
        <f>IFERROR(AVERAGE(Data!E851), "  ")</f>
        <v>524</v>
      </c>
      <c r="F848" s="42">
        <f>IFERROR(AVERAGE(Data!F851), "  ")</f>
        <v>788</v>
      </c>
      <c r="G848" s="42">
        <f>IFERROR(AVERAGE(Data!G851), "  ")</f>
        <v>264</v>
      </c>
      <c r="H848" s="44">
        <f>IFERROR(AVERAGE(Data!H851), "  ")</f>
        <v>5.771812080536913E-2</v>
      </c>
      <c r="I848" s="44">
        <f>IFERROR(AVERAGE(Data!I851), "  ")</f>
        <v>6.2880324543610547E-2</v>
      </c>
      <c r="J848" s="42">
        <f>IFERROR(AVERAGE(Data!J851), "  ")</f>
        <v>31</v>
      </c>
      <c r="K848" s="44">
        <f>IFERROR(AVERAGE(Data!K851), "  ")</f>
        <v>-0.2783882783882784</v>
      </c>
      <c r="L848" s="45">
        <f>IFERROR(AVERAGE(Data!L851), "  ")</f>
        <v>864.66666666666663</v>
      </c>
    </row>
    <row r="849" spans="1:12" x14ac:dyDescent="0.2">
      <c r="A849" s="43"/>
      <c r="B849" s="42">
        <f>IFERROR(AVERAGE(Data!B852), "  ")</f>
        <v>249</v>
      </c>
      <c r="C849" s="42">
        <f>IFERROR(AVERAGE(Data!C852), "  ")</f>
        <v>29</v>
      </c>
      <c r="D849" s="42">
        <f>IFERROR(AVERAGE(Data!D852), "  ")</f>
        <v>112</v>
      </c>
      <c r="E849" s="42">
        <f>IFERROR(AVERAGE(Data!E852), "  ")</f>
        <v>390</v>
      </c>
      <c r="F849" s="42">
        <f>IFERROR(AVERAGE(Data!F852), "  ")</f>
        <v>856</v>
      </c>
      <c r="G849" s="42">
        <f>IFERROR(AVERAGE(Data!G852), "  ")</f>
        <v>466</v>
      </c>
      <c r="H849" s="44">
        <f>IFERROR(AVERAGE(Data!H852), "  ")</f>
        <v>8.6294416243654817E-2</v>
      </c>
      <c r="I849" s="44">
        <f>IFERROR(AVERAGE(Data!I852), "  ")</f>
        <v>-0.25572519083969464</v>
      </c>
      <c r="J849" s="42">
        <f>IFERROR(AVERAGE(Data!J852), "  ")</f>
        <v>-134</v>
      </c>
      <c r="K849" s="44">
        <f>IFERROR(AVERAGE(Data!K852), "  ")</f>
        <v>-6.8552774755168661E-2</v>
      </c>
      <c r="L849" s="45">
        <f>IFERROR(AVERAGE(Data!L852), "  ")</f>
        <v>721.33333333333337</v>
      </c>
    </row>
    <row r="850" spans="1:12" x14ac:dyDescent="0.2">
      <c r="A850" s="43"/>
      <c r="B850" s="42">
        <f>IFERROR(AVERAGE(Data!B853), "  ")</f>
        <v>222</v>
      </c>
      <c r="C850" s="42">
        <f>IFERROR(AVERAGE(Data!C853), "  ")</f>
        <v>38</v>
      </c>
      <c r="D850" s="42">
        <f>IFERROR(AVERAGE(Data!D853), "  ")</f>
        <v>124</v>
      </c>
      <c r="E850" s="42">
        <f>IFERROR(AVERAGE(Data!E853), "  ")</f>
        <v>384</v>
      </c>
      <c r="F850" s="42">
        <f>IFERROR(AVERAGE(Data!F853), "  ")</f>
        <v>833</v>
      </c>
      <c r="G850" s="42">
        <f>IFERROR(AVERAGE(Data!G853), "  ")</f>
        <v>449</v>
      </c>
      <c r="H850" s="44">
        <f>IFERROR(AVERAGE(Data!H853), "  ")</f>
        <v>-2.6869158878504672E-2</v>
      </c>
      <c r="I850" s="44">
        <f>IFERROR(AVERAGE(Data!I853), "  ")</f>
        <v>-1.5384615384615385E-2</v>
      </c>
      <c r="J850" s="42">
        <f>IFERROR(AVERAGE(Data!J853), "  ")</f>
        <v>-6</v>
      </c>
      <c r="K850" s="44">
        <f>IFERROR(AVERAGE(Data!K853), "  ")</f>
        <v>-0.20591039084842708</v>
      </c>
      <c r="L850" s="45">
        <f>IFERROR(AVERAGE(Data!L853), "  ")</f>
        <v>777</v>
      </c>
    </row>
    <row r="851" spans="1:12" x14ac:dyDescent="0.2">
      <c r="A851" s="43"/>
      <c r="B851" s="42">
        <f>IFERROR(AVERAGE(Data!B854), "  ")</f>
        <v>183</v>
      </c>
      <c r="C851" s="42">
        <f>IFERROR(AVERAGE(Data!C854), "  ")</f>
        <v>23</v>
      </c>
      <c r="D851" s="42">
        <f>IFERROR(AVERAGE(Data!D854), "  ")</f>
        <v>144</v>
      </c>
      <c r="E851" s="42">
        <f>IFERROR(AVERAGE(Data!E854), "  ")</f>
        <v>350</v>
      </c>
      <c r="F851" s="42">
        <f>IFERROR(AVERAGE(Data!F854), "  ")</f>
        <v>832</v>
      </c>
      <c r="G851" s="42">
        <f>IFERROR(AVERAGE(Data!G854), "  ")</f>
        <v>482</v>
      </c>
      <c r="H851" s="44">
        <f>IFERROR(AVERAGE(Data!H854), "  ")</f>
        <v>-1.2004801920768306E-3</v>
      </c>
      <c r="I851" s="44">
        <f>IFERROR(AVERAGE(Data!I854), "  ")</f>
        <v>-8.8541666666666671E-2</v>
      </c>
      <c r="J851" s="42">
        <f>IFERROR(AVERAGE(Data!J854), "  ")</f>
        <v>-34</v>
      </c>
      <c r="K851" s="44">
        <f>IFERROR(AVERAGE(Data!K854), "  ")</f>
        <v>-0.21361058601134217</v>
      </c>
      <c r="L851" s="45">
        <f>IFERROR(AVERAGE(Data!L854), "  ")</f>
        <v>886.33333333333337</v>
      </c>
    </row>
    <row r="852" spans="1:12" x14ac:dyDescent="0.2">
      <c r="A852" s="43"/>
      <c r="B852" s="42">
        <f>IFERROR(AVERAGE(Data!B855), "  ")</f>
        <v>125</v>
      </c>
      <c r="C852" s="42">
        <f>IFERROR(AVERAGE(Data!C855), "  ")</f>
        <v>35</v>
      </c>
      <c r="D852" s="42">
        <f>IFERROR(AVERAGE(Data!D855), "  ")</f>
        <v>137</v>
      </c>
      <c r="E852" s="42">
        <f>IFERROR(AVERAGE(Data!E855), "  ")</f>
        <v>297</v>
      </c>
      <c r="F852" s="42">
        <f>IFERROR(AVERAGE(Data!F855), "  ")</f>
        <v>830</v>
      </c>
      <c r="G852" s="42">
        <f>IFERROR(AVERAGE(Data!G855), "  ")</f>
        <v>533</v>
      </c>
      <c r="H852" s="44">
        <f>IFERROR(AVERAGE(Data!H855), "  ")</f>
        <v>-2.403846153846154E-3</v>
      </c>
      <c r="I852" s="44">
        <f>IFERROR(AVERAGE(Data!I855), "  ")</f>
        <v>-0.15142857142857144</v>
      </c>
      <c r="J852" s="42">
        <f>IFERROR(AVERAGE(Data!J855), "  ")</f>
        <v>-53</v>
      </c>
      <c r="K852" s="44">
        <f>IFERROR(AVERAGE(Data!K855), "  ")</f>
        <v>-0.14256198347107438</v>
      </c>
      <c r="L852" s="45">
        <f>IFERROR(AVERAGE(Data!L855), "  ")</f>
        <v>763.33333333333337</v>
      </c>
    </row>
    <row r="853" spans="1:12" x14ac:dyDescent="0.2">
      <c r="A853" s="43"/>
      <c r="B853" s="42">
        <f>IFERROR(AVERAGE(Data!B856), "  ")</f>
        <v>176</v>
      </c>
      <c r="C853" s="42">
        <f>IFERROR(AVERAGE(Data!C856), "  ")</f>
        <v>30</v>
      </c>
      <c r="D853" s="42">
        <f>IFERROR(AVERAGE(Data!D856), "  ")</f>
        <v>256</v>
      </c>
      <c r="E853" s="42">
        <f>IFERROR(AVERAGE(Data!E856), "  ")</f>
        <v>462</v>
      </c>
      <c r="F853" s="42">
        <f>IFERROR(AVERAGE(Data!F856), "  ")</f>
        <v>818</v>
      </c>
      <c r="G853" s="42">
        <f>IFERROR(AVERAGE(Data!G856), "  ")</f>
        <v>356</v>
      </c>
      <c r="H853" s="44">
        <f>IFERROR(AVERAGE(Data!H856), "  ")</f>
        <v>-1.4457831325301205E-2</v>
      </c>
      <c r="I853" s="44">
        <f>IFERROR(AVERAGE(Data!I856), "  ")</f>
        <v>0.55555555555555558</v>
      </c>
      <c r="J853" s="42">
        <f>IFERROR(AVERAGE(Data!J856), "  ")</f>
        <v>165</v>
      </c>
      <c r="K853" s="44">
        <f>IFERROR(AVERAGE(Data!K856), "  ")</f>
        <v>-0.16274309109518936</v>
      </c>
      <c r="L853" s="45">
        <f>IFERROR(AVERAGE(Data!L856), "  ")</f>
        <v>834.33333333333337</v>
      </c>
    </row>
    <row r="854" spans="1:12" x14ac:dyDescent="0.2">
      <c r="A854" s="43"/>
      <c r="B854" s="42">
        <f>IFERROR(AVERAGE(Data!B857), "  ")</f>
        <v>104</v>
      </c>
      <c r="C854" s="42">
        <f>IFERROR(AVERAGE(Data!C857), "  ")</f>
        <v>27</v>
      </c>
      <c r="D854" s="42">
        <f>IFERROR(AVERAGE(Data!D857), "  ")</f>
        <v>169</v>
      </c>
      <c r="E854" s="42">
        <f>IFERROR(AVERAGE(Data!E857), "  ")</f>
        <v>300</v>
      </c>
      <c r="F854" s="42">
        <f>IFERROR(AVERAGE(Data!F857), "  ")</f>
        <v>742</v>
      </c>
      <c r="G854" s="42">
        <f>IFERROR(AVERAGE(Data!G857), "  ")</f>
        <v>442</v>
      </c>
      <c r="H854" s="44">
        <f>IFERROR(AVERAGE(Data!H857), "  ")</f>
        <v>-9.2909535452322736E-2</v>
      </c>
      <c r="I854" s="44">
        <f>IFERROR(AVERAGE(Data!I857), "  ")</f>
        <v>-0.35064935064935066</v>
      </c>
      <c r="J854" s="42">
        <f>IFERROR(AVERAGE(Data!J857), "  ")</f>
        <v>-162</v>
      </c>
      <c r="K854" s="44">
        <f>IFERROR(AVERAGE(Data!K857), "  ")</f>
        <v>-0.17002237136465326</v>
      </c>
      <c r="L854" s="45">
        <f>IFERROR(AVERAGE(Data!L857), "  ")</f>
        <v>780.33333333333337</v>
      </c>
    </row>
    <row r="855" spans="1:12" x14ac:dyDescent="0.2">
      <c r="A855" s="43"/>
      <c r="B855" s="42">
        <f>IFERROR(AVERAGE(Data!B858), "  ")</f>
        <v>179</v>
      </c>
      <c r="C855" s="42">
        <f>IFERROR(AVERAGE(Data!C858), "  ")</f>
        <v>37</v>
      </c>
      <c r="D855" s="42">
        <f>IFERROR(AVERAGE(Data!D858), "  ")</f>
        <v>147</v>
      </c>
      <c r="E855" s="42">
        <f>IFERROR(AVERAGE(Data!E858), "  ")</f>
        <v>363</v>
      </c>
      <c r="F855" s="42">
        <f>IFERROR(AVERAGE(Data!F858), "  ")</f>
        <v>628</v>
      </c>
      <c r="G855" s="42">
        <f>IFERROR(AVERAGE(Data!G858), "  ")</f>
        <v>265</v>
      </c>
      <c r="H855" s="44">
        <f>IFERROR(AVERAGE(Data!H858), "  ")</f>
        <v>-0.15363881401617252</v>
      </c>
      <c r="I855" s="44">
        <f>IFERROR(AVERAGE(Data!I858), "  ")</f>
        <v>0.21</v>
      </c>
      <c r="J855" s="42">
        <f>IFERROR(AVERAGE(Data!J858), "  ")</f>
        <v>63</v>
      </c>
      <c r="K855" s="44">
        <f>IFERROR(AVERAGE(Data!K858), "  ")</f>
        <v>-0.39961759082217974</v>
      </c>
      <c r="L855" s="45">
        <f>IFERROR(AVERAGE(Data!L858), "  ")</f>
        <v>758</v>
      </c>
    </row>
    <row r="856" spans="1:12" x14ac:dyDescent="0.2">
      <c r="A856" s="43"/>
      <c r="B856" s="42">
        <f>IFERROR(AVERAGE(Data!B859), "  ")</f>
        <v>122</v>
      </c>
      <c r="C856" s="42">
        <f>IFERROR(AVERAGE(Data!C859), "  ")</f>
        <v>34</v>
      </c>
      <c r="D856" s="42">
        <f>IFERROR(AVERAGE(Data!D859), "  ")</f>
        <v>114</v>
      </c>
      <c r="E856" s="42">
        <f>IFERROR(AVERAGE(Data!E859), "  ")</f>
        <v>270</v>
      </c>
      <c r="F856" s="42">
        <f>IFERROR(AVERAGE(Data!F859), "  ")</f>
        <v>823</v>
      </c>
      <c r="G856" s="42">
        <f>IFERROR(AVERAGE(Data!G859), "  ")</f>
        <v>553</v>
      </c>
      <c r="H856" s="44">
        <f>IFERROR(AVERAGE(Data!H859), "  ")</f>
        <v>0.31050955414012738</v>
      </c>
      <c r="I856" s="44">
        <f>IFERROR(AVERAGE(Data!I859), "  ")</f>
        <v>-0.256198347107438</v>
      </c>
      <c r="J856" s="42">
        <f>IFERROR(AVERAGE(Data!J859), "  ")</f>
        <v>-93</v>
      </c>
      <c r="K856" s="44">
        <f>IFERROR(AVERAGE(Data!K859), "  ")</f>
        <v>5.9202059202059204E-2</v>
      </c>
      <c r="L856" s="45">
        <f>IFERROR(AVERAGE(Data!L859), "  ")</f>
        <v>726.66666666666663</v>
      </c>
    </row>
    <row r="857" spans="1:12" x14ac:dyDescent="0.2">
      <c r="A857" s="43"/>
      <c r="B857" s="42">
        <f>IFERROR(AVERAGE(Data!B860), "  ")</f>
        <v>127</v>
      </c>
      <c r="C857" s="42">
        <f>IFERROR(AVERAGE(Data!C860), "  ")</f>
        <v>32</v>
      </c>
      <c r="D857" s="42">
        <f>IFERROR(AVERAGE(Data!D860), "  ")</f>
        <v>206</v>
      </c>
      <c r="E857" s="42">
        <f>IFERROR(AVERAGE(Data!E860), "  ")</f>
        <v>365</v>
      </c>
      <c r="F857" s="42">
        <f>IFERROR(AVERAGE(Data!F860), "  ")</f>
        <v>741</v>
      </c>
      <c r="G857" s="42">
        <f>IFERROR(AVERAGE(Data!G860), "  ")</f>
        <v>376</v>
      </c>
      <c r="H857" s="44">
        <f>IFERROR(AVERAGE(Data!H860), "  ")</f>
        <v>-9.9635479951397321E-2</v>
      </c>
      <c r="I857" s="44">
        <f>IFERROR(AVERAGE(Data!I860), "  ")</f>
        <v>0.35185185185185186</v>
      </c>
      <c r="J857" s="42">
        <f>IFERROR(AVERAGE(Data!J860), "  ")</f>
        <v>95</v>
      </c>
      <c r="K857" s="44">
        <f>IFERROR(AVERAGE(Data!K860), "  ")</f>
        <v>9.9406528189910984E-2</v>
      </c>
      <c r="L857" s="45">
        <f>IFERROR(AVERAGE(Data!L860), "  ")</f>
        <v>610.33333333333337</v>
      </c>
    </row>
    <row r="858" spans="1:12" x14ac:dyDescent="0.2">
      <c r="A858" s="43"/>
      <c r="B858" s="42">
        <f>IFERROR(AVERAGE(Data!B861), "  ")</f>
        <v>148</v>
      </c>
      <c r="C858" s="42">
        <f>IFERROR(AVERAGE(Data!C861), "  ")</f>
        <v>40</v>
      </c>
      <c r="D858" s="42">
        <f>IFERROR(AVERAGE(Data!D861), "  ")</f>
        <v>142</v>
      </c>
      <c r="E858" s="42">
        <f>IFERROR(AVERAGE(Data!E861), "  ")</f>
        <v>330</v>
      </c>
      <c r="F858" s="42">
        <f>IFERROR(AVERAGE(Data!F861), "  ")</f>
        <v>732</v>
      </c>
      <c r="G858" s="42">
        <f>IFERROR(AVERAGE(Data!G861), "  ")</f>
        <v>402</v>
      </c>
      <c r="H858" s="44">
        <f>IFERROR(AVERAGE(Data!H861), "  ")</f>
        <v>-1.2145748987854251E-2</v>
      </c>
      <c r="I858" s="44">
        <f>IFERROR(AVERAGE(Data!I861), "  ")</f>
        <v>-9.5890410958904104E-2</v>
      </c>
      <c r="J858" s="42">
        <f>IFERROR(AVERAGE(Data!J861), "  ")</f>
        <v>-35</v>
      </c>
      <c r="K858" s="44">
        <f>IFERROR(AVERAGE(Data!K861), "  ")</f>
        <v>-6.0333761232349167E-2</v>
      </c>
      <c r="L858" s="45">
        <f>IFERROR(AVERAGE(Data!L861), "  ")</f>
        <v>590.33333333333337</v>
      </c>
    </row>
    <row r="859" spans="1:12" x14ac:dyDescent="0.2">
      <c r="A859" s="43"/>
      <c r="B859" s="42">
        <f>IFERROR(AVERAGE(Data!B862), "  ")</f>
        <v>220</v>
      </c>
      <c r="C859" s="42">
        <f>IFERROR(AVERAGE(Data!C862), "  ")</f>
        <v>34</v>
      </c>
      <c r="D859" s="42">
        <f>IFERROR(AVERAGE(Data!D862), "  ")</f>
        <v>141</v>
      </c>
      <c r="E859" s="42">
        <f>IFERROR(AVERAGE(Data!E862), "  ")</f>
        <v>395</v>
      </c>
      <c r="F859" s="42">
        <f>IFERROR(AVERAGE(Data!F862), "  ")</f>
        <v>750</v>
      </c>
      <c r="G859" s="42">
        <f>IFERROR(AVERAGE(Data!G862), "  ")</f>
        <v>355</v>
      </c>
      <c r="H859" s="44">
        <f>IFERROR(AVERAGE(Data!H862), "  ")</f>
        <v>2.4590163934426229E-2</v>
      </c>
      <c r="I859" s="44">
        <f>IFERROR(AVERAGE(Data!I862), "  ")</f>
        <v>0.19696969696969696</v>
      </c>
      <c r="J859" s="42">
        <f>IFERROR(AVERAGE(Data!J862), "  ")</f>
        <v>65</v>
      </c>
      <c r="K859" s="44">
        <f>IFERROR(AVERAGE(Data!K862), "  ")</f>
        <v>-0.12485414235705951</v>
      </c>
      <c r="L859" s="45">
        <f>IFERROR(AVERAGE(Data!L862), "  ")</f>
        <v>623</v>
      </c>
    </row>
    <row r="860" spans="1:12" x14ac:dyDescent="0.2">
      <c r="A860" s="43"/>
      <c r="B860" s="42">
        <f>IFERROR(AVERAGE(Data!B863), "  ")</f>
        <v>202</v>
      </c>
      <c r="C860" s="42">
        <f>IFERROR(AVERAGE(Data!C863), "  ")</f>
        <v>22</v>
      </c>
      <c r="D860" s="42">
        <f>IFERROR(AVERAGE(Data!D863), "  ")</f>
        <v>142</v>
      </c>
      <c r="E860" s="42">
        <f>IFERROR(AVERAGE(Data!E863), "  ")</f>
        <v>366</v>
      </c>
      <c r="F860" s="42">
        <f>IFERROR(AVERAGE(Data!F863), "  ")</f>
        <v>682</v>
      </c>
      <c r="G860" s="42">
        <f>IFERROR(AVERAGE(Data!G863), "  ")</f>
        <v>316</v>
      </c>
      <c r="H860" s="44">
        <f>IFERROR(AVERAGE(Data!H863), "  ")</f>
        <v>-9.0666666666666673E-2</v>
      </c>
      <c r="I860" s="44">
        <f>IFERROR(AVERAGE(Data!I863), "  ")</f>
        <v>-7.3417721518987344E-2</v>
      </c>
      <c r="J860" s="42">
        <f>IFERROR(AVERAGE(Data!J863), "  ")</f>
        <v>-29</v>
      </c>
      <c r="K860" s="44">
        <f>IFERROR(AVERAGE(Data!K863), "  ")</f>
        <v>-0.19858989424206816</v>
      </c>
      <c r="L860" s="45">
        <f>IFERROR(AVERAGE(Data!L863), "  ")</f>
        <v>626.33333333333337</v>
      </c>
    </row>
    <row r="861" spans="1:12" x14ac:dyDescent="0.2">
      <c r="A861" s="43"/>
      <c r="B861" s="42">
        <f>IFERROR(AVERAGE(Data!B864), "  ")</f>
        <v>206</v>
      </c>
      <c r="C861" s="42">
        <f>IFERROR(AVERAGE(Data!C864), "  ")</f>
        <v>29</v>
      </c>
      <c r="D861" s="42">
        <f>IFERROR(AVERAGE(Data!D864), "  ")</f>
        <v>185</v>
      </c>
      <c r="E861" s="42">
        <f>IFERROR(AVERAGE(Data!E864), "  ")</f>
        <v>420</v>
      </c>
      <c r="F861" s="42">
        <f>IFERROR(AVERAGE(Data!F864), "  ")</f>
        <v>639</v>
      </c>
      <c r="G861" s="42">
        <f>IFERROR(AVERAGE(Data!G864), "  ")</f>
        <v>219</v>
      </c>
      <c r="H861" s="44">
        <f>IFERROR(AVERAGE(Data!H864), "  ")</f>
        <v>-6.3049853372434017E-2</v>
      </c>
      <c r="I861" s="44">
        <f>IFERROR(AVERAGE(Data!I864), "  ")</f>
        <v>0.14754098360655737</v>
      </c>
      <c r="J861" s="42">
        <f>IFERROR(AVERAGE(Data!J864), "  ")</f>
        <v>54</v>
      </c>
      <c r="K861" s="44">
        <f>IFERROR(AVERAGE(Data!K864), "  ")</f>
        <v>-0.16688396349413298</v>
      </c>
      <c r="L861" s="45">
        <f>IFERROR(AVERAGE(Data!L864), "  ")</f>
        <v>657.33333333333337</v>
      </c>
    </row>
    <row r="862" spans="1:12" x14ac:dyDescent="0.2">
      <c r="A862" s="43"/>
      <c r="B862" s="42">
        <f>IFERROR(AVERAGE(Data!B865), "  ")</f>
        <v>243</v>
      </c>
      <c r="C862" s="42">
        <f>IFERROR(AVERAGE(Data!C865), "  ")</f>
        <v>33</v>
      </c>
      <c r="D862" s="42">
        <f>IFERROR(AVERAGE(Data!D865), "  ")</f>
        <v>216</v>
      </c>
      <c r="E862" s="42">
        <f>IFERROR(AVERAGE(Data!E865), "  ")</f>
        <v>492</v>
      </c>
      <c r="F862" s="42">
        <f>IFERROR(AVERAGE(Data!F865), "  ")</f>
        <v>753</v>
      </c>
      <c r="G862" s="42">
        <f>IFERROR(AVERAGE(Data!G865), "  ")</f>
        <v>261</v>
      </c>
      <c r="H862" s="44">
        <f>IFERROR(AVERAGE(Data!H865), "  ")</f>
        <v>0.17840375586854459</v>
      </c>
      <c r="I862" s="44">
        <f>IFERROR(AVERAGE(Data!I865), "  ")</f>
        <v>0.17142857142857143</v>
      </c>
      <c r="J862" s="42">
        <f>IFERROR(AVERAGE(Data!J865), "  ")</f>
        <v>72</v>
      </c>
      <c r="K862" s="44">
        <f>IFERROR(AVERAGE(Data!K865), "  ")</f>
        <v>0.20673076923076922</v>
      </c>
      <c r="L862" s="45">
        <f>IFERROR(AVERAGE(Data!L865), "  ")</f>
        <v>621.66666666666663</v>
      </c>
    </row>
    <row r="863" spans="1:12" x14ac:dyDescent="0.2">
      <c r="A863" s="43"/>
      <c r="B863" s="42">
        <f>IFERROR(AVERAGE(Data!B866), "  ")</f>
        <v>254</v>
      </c>
      <c r="C863" s="42">
        <f>IFERROR(AVERAGE(Data!C866), "  ")</f>
        <v>28</v>
      </c>
      <c r="D863" s="42">
        <f>IFERROR(AVERAGE(Data!D866), "  ")</f>
        <v>122</v>
      </c>
      <c r="E863" s="42">
        <f>IFERROR(AVERAGE(Data!E866), "  ")</f>
        <v>404</v>
      </c>
      <c r="F863" s="42">
        <f>IFERROR(AVERAGE(Data!F866), "  ")</f>
        <v>711</v>
      </c>
      <c r="G863" s="42">
        <f>IFERROR(AVERAGE(Data!G866), "  ")</f>
        <v>307</v>
      </c>
      <c r="H863" s="44">
        <f>IFERROR(AVERAGE(Data!H866), "  ")</f>
        <v>-5.5776892430278883E-2</v>
      </c>
      <c r="I863" s="44">
        <f>IFERROR(AVERAGE(Data!I866), "  ")</f>
        <v>-0.17886178861788618</v>
      </c>
      <c r="J863" s="42">
        <f>IFERROR(AVERAGE(Data!J866), "  ")</f>
        <v>-88</v>
      </c>
      <c r="K863" s="44">
        <f>IFERROR(AVERAGE(Data!K866), "  ")</f>
        <v>1.7167381974248927E-2</v>
      </c>
      <c r="L863" s="45">
        <f>IFERROR(AVERAGE(Data!L866), "  ")</f>
        <v>600.66666666666663</v>
      </c>
    </row>
    <row r="864" spans="1:12" x14ac:dyDescent="0.2">
      <c r="A864" s="43"/>
      <c r="B864" s="42">
        <f>IFERROR(AVERAGE(Data!B867), "  ")</f>
        <v>301</v>
      </c>
      <c r="C864" s="42">
        <f>IFERROR(AVERAGE(Data!C867), "  ")</f>
        <v>24</v>
      </c>
      <c r="D864" s="42">
        <f>IFERROR(AVERAGE(Data!D867), "  ")</f>
        <v>184</v>
      </c>
      <c r="E864" s="42">
        <f>IFERROR(AVERAGE(Data!E867), "  ")</f>
        <v>509</v>
      </c>
      <c r="F864" s="42">
        <f>IFERROR(AVERAGE(Data!F867), "  ")</f>
        <v>842</v>
      </c>
      <c r="G864" s="42">
        <f>IFERROR(AVERAGE(Data!G867), "  ")</f>
        <v>333</v>
      </c>
      <c r="H864" s="44">
        <f>IFERROR(AVERAGE(Data!H867), "  ")</f>
        <v>0.18424753867791843</v>
      </c>
      <c r="I864" s="44">
        <f>IFERROR(AVERAGE(Data!I867), "  ")</f>
        <v>0.25990099009900991</v>
      </c>
      <c r="J864" s="42">
        <f>IFERROR(AVERAGE(Data!J867), "  ")</f>
        <v>105</v>
      </c>
      <c r="K864" s="44">
        <f>IFERROR(AVERAGE(Data!K867), "  ")</f>
        <v>0.30745341614906835</v>
      </c>
      <c r="L864" s="45">
        <f>IFERROR(AVERAGE(Data!L867), "  ")</f>
        <v>572.33333333333337</v>
      </c>
    </row>
    <row r="865" spans="1:12" x14ac:dyDescent="0.2">
      <c r="A865" s="43"/>
      <c r="B865" s="42">
        <f>IFERROR(AVERAGE(Data!B868), "  ")</f>
        <v>386</v>
      </c>
      <c r="C865" s="42">
        <f>IFERROR(AVERAGE(Data!C868), "  ")</f>
        <v>34</v>
      </c>
      <c r="D865" s="42">
        <f>IFERROR(AVERAGE(Data!D868), "  ")</f>
        <v>131</v>
      </c>
      <c r="E865" s="42">
        <f>IFERROR(AVERAGE(Data!E868), "  ")</f>
        <v>551</v>
      </c>
      <c r="F865" s="42">
        <f>IFERROR(AVERAGE(Data!F868), "  ")</f>
        <v>747</v>
      </c>
      <c r="G865" s="42">
        <f>IFERROR(AVERAGE(Data!G868), "  ")</f>
        <v>196</v>
      </c>
      <c r="H865" s="44">
        <f>IFERROR(AVERAGE(Data!H868), "  ")</f>
        <v>-0.11282660332541568</v>
      </c>
      <c r="I865" s="44">
        <f>IFERROR(AVERAGE(Data!I868), "  ")</f>
        <v>8.2514734774066803E-2</v>
      </c>
      <c r="J865" s="42">
        <f>IFERROR(AVERAGE(Data!J868), "  ")</f>
        <v>42</v>
      </c>
      <c r="K865" s="44">
        <f>IFERROR(AVERAGE(Data!K868), "  ")</f>
        <v>0.19329073482428116</v>
      </c>
      <c r="L865" s="45">
        <f>IFERROR(AVERAGE(Data!L868), "  ")</f>
        <v>589.66666666666663</v>
      </c>
    </row>
    <row r="866" spans="1:12" x14ac:dyDescent="0.2">
      <c r="A866" s="43"/>
      <c r="B866" s="42">
        <f>IFERROR(AVERAGE(Data!B869), "  ")</f>
        <v>360</v>
      </c>
      <c r="C866" s="42">
        <f>IFERROR(AVERAGE(Data!C869), "  ")</f>
        <v>34</v>
      </c>
      <c r="D866" s="42">
        <f>IFERROR(AVERAGE(Data!D869), "  ")</f>
        <v>155</v>
      </c>
      <c r="E866" s="42">
        <f>IFERROR(AVERAGE(Data!E869), "  ")</f>
        <v>549</v>
      </c>
      <c r="F866" s="42">
        <f>IFERROR(AVERAGE(Data!F869), "  ")</f>
        <v>733</v>
      </c>
      <c r="G866" s="42">
        <f>IFERROR(AVERAGE(Data!G869), "  ")</f>
        <v>184</v>
      </c>
      <c r="H866" s="44">
        <f>IFERROR(AVERAGE(Data!H869), "  ")</f>
        <v>-1.8741633199464525E-2</v>
      </c>
      <c r="I866" s="44">
        <f>IFERROR(AVERAGE(Data!I869), "  ")</f>
        <v>-3.629764065335753E-3</v>
      </c>
      <c r="J866" s="42">
        <f>IFERROR(AVERAGE(Data!J869), "  ")</f>
        <v>-2</v>
      </c>
      <c r="K866" s="44">
        <f>IFERROR(AVERAGE(Data!K869), "  ")</f>
        <v>5.4869684499314125E-3</v>
      </c>
      <c r="L866" s="45">
        <f>IFERROR(AVERAGE(Data!L869), "  ")</f>
        <v>645.66666666666663</v>
      </c>
    </row>
    <row r="867" spans="1:12" x14ac:dyDescent="0.2">
      <c r="A867" s="43"/>
      <c r="B867" s="42">
        <f>IFERROR(AVERAGE(Data!B870), "  ")</f>
        <v>353</v>
      </c>
      <c r="C867" s="42">
        <f>IFERROR(AVERAGE(Data!C870), "  ")</f>
        <v>12</v>
      </c>
      <c r="D867" s="42">
        <f>IFERROR(AVERAGE(Data!D870), "  ")</f>
        <v>128</v>
      </c>
      <c r="E867" s="42">
        <f>IFERROR(AVERAGE(Data!E870), "  ")</f>
        <v>493</v>
      </c>
      <c r="F867" s="42">
        <f>IFERROR(AVERAGE(Data!F870), "  ")</f>
        <v>680</v>
      </c>
      <c r="G867" s="42">
        <f>IFERROR(AVERAGE(Data!G870), "  ")</f>
        <v>187</v>
      </c>
      <c r="H867" s="44">
        <f>IFERROR(AVERAGE(Data!H870), "  ")</f>
        <v>-7.2305593451568895E-2</v>
      </c>
      <c r="I867" s="44">
        <f>IFERROR(AVERAGE(Data!I870), "  ")</f>
        <v>-0.10200364298724955</v>
      </c>
      <c r="J867" s="42">
        <f>IFERROR(AVERAGE(Data!J870), "  ")</f>
        <v>-56</v>
      </c>
      <c r="K867" s="44">
        <f>IFERROR(AVERAGE(Data!K870), "  ")</f>
        <v>-0.15945611866501855</v>
      </c>
      <c r="L867" s="45">
        <f>IFERROR(AVERAGE(Data!L870), "  ")</f>
        <v>657.66666666666663</v>
      </c>
    </row>
    <row r="868" spans="1:12" x14ac:dyDescent="0.2">
      <c r="A868" s="43"/>
      <c r="B868" s="42">
        <f>IFERROR(AVERAGE(Data!B871), "  ")</f>
        <v>402</v>
      </c>
      <c r="C868" s="42">
        <f>IFERROR(AVERAGE(Data!C871), "  ")</f>
        <v>11</v>
      </c>
      <c r="D868" s="42">
        <f>IFERROR(AVERAGE(Data!D871), "  ")</f>
        <v>136</v>
      </c>
      <c r="E868" s="42">
        <f>IFERROR(AVERAGE(Data!E871), "  ")</f>
        <v>549</v>
      </c>
      <c r="F868" s="42">
        <f>IFERROR(AVERAGE(Data!F871), "  ")</f>
        <v>594</v>
      </c>
      <c r="G868" s="42">
        <f>IFERROR(AVERAGE(Data!G871), "  ")</f>
        <v>45</v>
      </c>
      <c r="H868" s="44">
        <f>IFERROR(AVERAGE(Data!H871), "  ")</f>
        <v>-0.12647058823529411</v>
      </c>
      <c r="I868" s="44">
        <f>IFERROR(AVERAGE(Data!I871), "  ")</f>
        <v>0.11359026369168357</v>
      </c>
      <c r="J868" s="42">
        <f>IFERROR(AVERAGE(Data!J871), "  ")</f>
        <v>56</v>
      </c>
      <c r="K868" s="44">
        <f>IFERROR(AVERAGE(Data!K871), "  ")</f>
        <v>-0.22352941176470589</v>
      </c>
      <c r="L868" s="45">
        <f>IFERROR(AVERAGE(Data!L871), "  ")</f>
        <v>639.33333333333337</v>
      </c>
    </row>
    <row r="869" spans="1:12" x14ac:dyDescent="0.2">
      <c r="A869" s="43"/>
      <c r="B869" s="42">
        <f>IFERROR(AVERAGE(Data!B872), "  ")</f>
        <v>375</v>
      </c>
      <c r="C869" s="42">
        <f>IFERROR(AVERAGE(Data!C872), "  ")</f>
        <v>21</v>
      </c>
      <c r="D869" s="42">
        <f>IFERROR(AVERAGE(Data!D872), "  ")</f>
        <v>117</v>
      </c>
      <c r="E869" s="42">
        <f>IFERROR(AVERAGE(Data!E872), "  ")</f>
        <v>513</v>
      </c>
      <c r="F869" s="42">
        <f>IFERROR(AVERAGE(Data!F872), "  ")</f>
        <v>683</v>
      </c>
      <c r="G869" s="42">
        <f>IFERROR(AVERAGE(Data!G872), "  ")</f>
        <v>170</v>
      </c>
      <c r="H869" s="44">
        <f>IFERROR(AVERAGE(Data!H872), "  ")</f>
        <v>0.14983164983164984</v>
      </c>
      <c r="I869" s="44">
        <f>IFERROR(AVERAGE(Data!I872), "  ")</f>
        <v>-6.5573770491803282E-2</v>
      </c>
      <c r="J869" s="42">
        <f>IFERROR(AVERAGE(Data!J872), "  ")</f>
        <v>-36</v>
      </c>
      <c r="K869" s="44">
        <f>IFERROR(AVERAGE(Data!K872), "  ")</f>
        <v>-0.15049751243781095</v>
      </c>
      <c r="L869" s="45">
        <f>IFERROR(AVERAGE(Data!L872), "  ")</f>
        <v>610.66666666666663</v>
      </c>
    </row>
    <row r="870" spans="1:12" x14ac:dyDescent="0.2">
      <c r="A870" s="43"/>
      <c r="B870" s="42">
        <f>IFERROR(AVERAGE(Data!B873), "  ")</f>
        <v>377</v>
      </c>
      <c r="C870" s="42">
        <f>IFERROR(AVERAGE(Data!C873), "  ")</f>
        <v>16</v>
      </c>
      <c r="D870" s="42">
        <f>IFERROR(AVERAGE(Data!D873), "  ")</f>
        <v>56</v>
      </c>
      <c r="E870" s="42">
        <f>IFERROR(AVERAGE(Data!E873), "  ")</f>
        <v>449</v>
      </c>
      <c r="F870" s="42">
        <f>IFERROR(AVERAGE(Data!F873), "  ")</f>
        <v>774</v>
      </c>
      <c r="G870" s="42">
        <f>IFERROR(AVERAGE(Data!G873), "  ")</f>
        <v>325</v>
      </c>
      <c r="H870" s="44">
        <f>IFERROR(AVERAGE(Data!H873), "  ")</f>
        <v>0.13323572474377746</v>
      </c>
      <c r="I870" s="44">
        <f>IFERROR(AVERAGE(Data!I873), "  ")</f>
        <v>-0.12475633528265107</v>
      </c>
      <c r="J870" s="42">
        <f>IFERROR(AVERAGE(Data!J873), "  ")</f>
        <v>-64</v>
      </c>
      <c r="K870" s="44">
        <f>IFERROR(AVERAGE(Data!K873), "  ")</f>
        <v>8.4033613445378158E-2</v>
      </c>
      <c r="L870" s="45">
        <f>IFERROR(AVERAGE(Data!L873), "  ")</f>
        <v>597.33333333333337</v>
      </c>
    </row>
    <row r="871" spans="1:12" x14ac:dyDescent="0.2">
      <c r="A871" s="43"/>
      <c r="B871" s="42">
        <f>IFERROR(AVERAGE(Data!B874), "  ")</f>
        <v>480</v>
      </c>
      <c r="C871" s="42">
        <f>IFERROR(AVERAGE(Data!C874), "  ")</f>
        <v>24</v>
      </c>
      <c r="D871" s="42">
        <f>IFERROR(AVERAGE(Data!D874), "  ")</f>
        <v>90</v>
      </c>
      <c r="E871" s="42">
        <f>IFERROR(AVERAGE(Data!E874), "  ")</f>
        <v>594</v>
      </c>
      <c r="F871" s="42">
        <f>IFERROR(AVERAGE(Data!F874), "  ")</f>
        <v>475</v>
      </c>
      <c r="G871" s="42">
        <f>IFERROR(AVERAGE(Data!G874), "  ")</f>
        <v>-119</v>
      </c>
      <c r="H871" s="44">
        <f>IFERROR(AVERAGE(Data!H874), "  ")</f>
        <v>-0.3863049095607235</v>
      </c>
      <c r="I871" s="44">
        <f>IFERROR(AVERAGE(Data!I874), "  ")</f>
        <v>0.32293986636971045</v>
      </c>
      <c r="J871" s="42">
        <f>IFERROR(AVERAGE(Data!J874), "  ")</f>
        <v>145</v>
      </c>
      <c r="K871" s="44">
        <f>IFERROR(AVERAGE(Data!K874), "  ")</f>
        <v>-0.38867438867438869</v>
      </c>
      <c r="L871" s="45">
        <f>IFERROR(AVERAGE(Data!L874), "  ")</f>
        <v>611.66666666666663</v>
      </c>
    </row>
    <row r="872" spans="1:12" x14ac:dyDescent="0.2">
      <c r="A872" s="43"/>
      <c r="B872" s="42">
        <f>IFERROR(AVERAGE(Data!B875), "  ")</f>
        <v>282</v>
      </c>
      <c r="C872" s="42">
        <f>IFERROR(AVERAGE(Data!C875), "  ")</f>
        <v>23</v>
      </c>
      <c r="D872" s="42">
        <f>IFERROR(AVERAGE(Data!D875), "  ")</f>
        <v>64</v>
      </c>
      <c r="E872" s="42">
        <f>IFERROR(AVERAGE(Data!E875), "  ")</f>
        <v>369</v>
      </c>
      <c r="F872" s="42">
        <f>IFERROR(AVERAGE(Data!F875), "  ")</f>
        <v>563</v>
      </c>
      <c r="G872" s="42">
        <f>IFERROR(AVERAGE(Data!G875), "  ")</f>
        <v>194</v>
      </c>
      <c r="H872" s="44">
        <f>IFERROR(AVERAGE(Data!H875), "  ")</f>
        <v>0.18526315789473685</v>
      </c>
      <c r="I872" s="44">
        <f>IFERROR(AVERAGE(Data!I875), "  ")</f>
        <v>-0.37878787878787878</v>
      </c>
      <c r="J872" s="42">
        <f>IFERROR(AVERAGE(Data!J875), "  ")</f>
        <v>-225</v>
      </c>
      <c r="K872" s="44">
        <f>IFERROR(AVERAGE(Data!K875), "  ")</f>
        <v>-6.1666666666666668E-2</v>
      </c>
      <c r="L872" s="45">
        <f>IFERROR(AVERAGE(Data!L875), "  ")</f>
        <v>551</v>
      </c>
    </row>
    <row r="873" spans="1:12" x14ac:dyDescent="0.2">
      <c r="A873" s="43"/>
      <c r="B873" s="42">
        <f>IFERROR(AVERAGE(Data!B876), "  ")</f>
        <v>446</v>
      </c>
      <c r="C873" s="42">
        <f>IFERROR(AVERAGE(Data!C876), "  ")</f>
        <v>20</v>
      </c>
      <c r="D873" s="42">
        <f>IFERROR(AVERAGE(Data!D876), "  ")</f>
        <v>62</v>
      </c>
      <c r="E873" s="42">
        <f>IFERROR(AVERAGE(Data!E876), "  ")</f>
        <v>528</v>
      </c>
      <c r="F873" s="42">
        <f>IFERROR(AVERAGE(Data!F876), "  ")</f>
        <v>704</v>
      </c>
      <c r="G873" s="42">
        <f>IFERROR(AVERAGE(Data!G876), "  ")</f>
        <v>176</v>
      </c>
      <c r="H873" s="44">
        <f>IFERROR(AVERAGE(Data!H876), "  ")</f>
        <v>0.25044404973357015</v>
      </c>
      <c r="I873" s="44">
        <f>IFERROR(AVERAGE(Data!I876), "  ")</f>
        <v>0.43089430894308944</v>
      </c>
      <c r="J873" s="42">
        <f>IFERROR(AVERAGE(Data!J876), "  ")</f>
        <v>159</v>
      </c>
      <c r="K873" s="44">
        <f>IFERROR(AVERAGE(Data!K876), "  ")</f>
        <v>-1.6759776536312849E-2</v>
      </c>
      <c r="L873" s="45">
        <f>IFERROR(AVERAGE(Data!L876), "  ")</f>
        <v>526.33333333333337</v>
      </c>
    </row>
    <row r="874" spans="1:12" x14ac:dyDescent="0.2">
      <c r="A874" s="43"/>
      <c r="B874" s="42">
        <f>IFERROR(AVERAGE(Data!B877), "  ")</f>
        <v>443</v>
      </c>
      <c r="C874" s="42">
        <f>IFERROR(AVERAGE(Data!C877), "  ")</f>
        <v>21</v>
      </c>
      <c r="D874" s="42">
        <f>IFERROR(AVERAGE(Data!D877), "  ")</f>
        <v>60</v>
      </c>
      <c r="E874" s="42">
        <f>IFERROR(AVERAGE(Data!E877), "  ")</f>
        <v>524</v>
      </c>
      <c r="F874" s="42">
        <f>IFERROR(AVERAGE(Data!F877), "  ")</f>
        <v>494</v>
      </c>
      <c r="G874" s="42">
        <f>IFERROR(AVERAGE(Data!G877), "  ")</f>
        <v>-30</v>
      </c>
      <c r="H874" s="44">
        <f>IFERROR(AVERAGE(Data!H877), "  ")</f>
        <v>-0.29829545454545453</v>
      </c>
      <c r="I874" s="44">
        <f>IFERROR(AVERAGE(Data!I877), "  ")</f>
        <v>-7.575757575757576E-3</v>
      </c>
      <c r="J874" s="42">
        <f>IFERROR(AVERAGE(Data!J877), "  ")</f>
        <v>-4</v>
      </c>
      <c r="K874" s="44">
        <f>IFERROR(AVERAGE(Data!K877), "  ")</f>
        <v>-0.22327044025157233</v>
      </c>
      <c r="L874" s="45">
        <f>IFERROR(AVERAGE(Data!L877), "  ")</f>
        <v>515.66666666666663</v>
      </c>
    </row>
    <row r="875" spans="1:12" x14ac:dyDescent="0.2">
      <c r="A875" s="43"/>
      <c r="B875" s="42">
        <f>IFERROR(AVERAGE(Data!B878), "  ")</f>
        <v>335</v>
      </c>
      <c r="C875" s="42">
        <f>IFERROR(AVERAGE(Data!C878), "  ")</f>
        <v>13</v>
      </c>
      <c r="D875" s="42">
        <f>IFERROR(AVERAGE(Data!D878), "  ")</f>
        <v>62</v>
      </c>
      <c r="E875" s="42">
        <f>IFERROR(AVERAGE(Data!E878), "  ")</f>
        <v>410</v>
      </c>
      <c r="F875" s="42">
        <f>IFERROR(AVERAGE(Data!F878), "  ")</f>
        <v>463</v>
      </c>
      <c r="G875" s="42">
        <f>IFERROR(AVERAGE(Data!G878), "  ")</f>
        <v>53</v>
      </c>
      <c r="H875" s="44">
        <f>IFERROR(AVERAGE(Data!H878), "  ")</f>
        <v>-6.2753036437246959E-2</v>
      </c>
      <c r="I875" s="44">
        <f>IFERROR(AVERAGE(Data!I878), "  ")</f>
        <v>-0.21755725190839695</v>
      </c>
      <c r="J875" s="42">
        <f>IFERROR(AVERAGE(Data!J878), "  ")</f>
        <v>-114</v>
      </c>
      <c r="K875" s="44">
        <f>IFERROR(AVERAGE(Data!K878), "  ")</f>
        <v>9.1981132075471692E-2</v>
      </c>
      <c r="L875" s="45">
        <f>IFERROR(AVERAGE(Data!L878), "  ")</f>
        <v>475.33333333333331</v>
      </c>
    </row>
    <row r="876" spans="1:12" x14ac:dyDescent="0.2">
      <c r="A876" s="43"/>
      <c r="B876" s="42">
        <f>IFERROR(AVERAGE(Data!B879), "  ")</f>
        <v>464</v>
      </c>
      <c r="C876" s="42">
        <f>IFERROR(AVERAGE(Data!C879), "  ")</f>
        <v>51</v>
      </c>
      <c r="D876" s="42">
        <f>IFERROR(AVERAGE(Data!D879), "  ")</f>
        <v>80</v>
      </c>
      <c r="E876" s="42">
        <f>IFERROR(AVERAGE(Data!E879), "  ")</f>
        <v>595</v>
      </c>
      <c r="F876" s="42">
        <f>IFERROR(AVERAGE(Data!F879), "  ")</f>
        <v>397</v>
      </c>
      <c r="G876" s="42">
        <f>IFERROR(AVERAGE(Data!G879), "  ")</f>
        <v>-198</v>
      </c>
      <c r="H876" s="44">
        <f>IFERROR(AVERAGE(Data!H879), "  ")</f>
        <v>-0.14254859611231102</v>
      </c>
      <c r="I876" s="44">
        <f>IFERROR(AVERAGE(Data!I879), "  ")</f>
        <v>0.45121951219512196</v>
      </c>
      <c r="J876" s="42">
        <f>IFERROR(AVERAGE(Data!J879), "  ")</f>
        <v>185</v>
      </c>
      <c r="K876" s="44">
        <f>IFERROR(AVERAGE(Data!K879), "  ")</f>
        <v>-0.28980322003577819</v>
      </c>
      <c r="L876" s="45">
        <f>IFERROR(AVERAGE(Data!L879), "  ")</f>
        <v>542.66666666666663</v>
      </c>
    </row>
    <row r="877" spans="1:12" x14ac:dyDescent="0.2">
      <c r="A877" s="43"/>
      <c r="B877" s="42">
        <f>IFERROR(AVERAGE(Data!B880), "  ")</f>
        <v>335</v>
      </c>
      <c r="C877" s="42">
        <f>IFERROR(AVERAGE(Data!C880), "  ")</f>
        <v>31</v>
      </c>
      <c r="D877" s="42">
        <f>IFERROR(AVERAGE(Data!D880), "  ")</f>
        <v>89</v>
      </c>
      <c r="E877" s="42">
        <f>IFERROR(AVERAGE(Data!E880), "  ")</f>
        <v>455</v>
      </c>
      <c r="F877" s="42">
        <f>IFERROR(AVERAGE(Data!F880), "  ")</f>
        <v>584</v>
      </c>
      <c r="G877" s="42">
        <f>IFERROR(AVERAGE(Data!G880), "  ")</f>
        <v>129</v>
      </c>
      <c r="H877" s="44">
        <f>IFERROR(AVERAGE(Data!H880), "  ")</f>
        <v>0.47103274559193953</v>
      </c>
      <c r="I877" s="44">
        <f>IFERROR(AVERAGE(Data!I880), "  ")</f>
        <v>-0.23529411764705882</v>
      </c>
      <c r="J877" s="42">
        <f>IFERROR(AVERAGE(Data!J880), "  ")</f>
        <v>-140</v>
      </c>
      <c r="K877" s="44">
        <f>IFERROR(AVERAGE(Data!K880), "  ")</f>
        <v>9.5684803001876179E-2</v>
      </c>
      <c r="L877" s="45">
        <f>IFERROR(AVERAGE(Data!L880), "  ")</f>
        <v>500.66666666666669</v>
      </c>
    </row>
    <row r="878" spans="1:12" x14ac:dyDescent="0.2">
      <c r="A878" s="43"/>
      <c r="B878" s="42">
        <f>IFERROR(AVERAGE(Data!B881), "  ")</f>
        <v>330</v>
      </c>
      <c r="C878" s="42">
        <f>IFERROR(AVERAGE(Data!C881), "  ")</f>
        <v>34</v>
      </c>
      <c r="D878" s="42">
        <f>IFERROR(AVERAGE(Data!D881), "  ")</f>
        <v>82</v>
      </c>
      <c r="E878" s="42">
        <f>IFERROR(AVERAGE(Data!E881), "  ")</f>
        <v>446</v>
      </c>
      <c r="F878" s="42">
        <f>IFERROR(AVERAGE(Data!F881), "  ")</f>
        <v>592</v>
      </c>
      <c r="G878" s="42">
        <f>IFERROR(AVERAGE(Data!G881), "  ")</f>
        <v>146</v>
      </c>
      <c r="H878" s="44">
        <f>IFERROR(AVERAGE(Data!H881), "  ")</f>
        <v>1.3698630136986301E-2</v>
      </c>
      <c r="I878" s="44">
        <f>IFERROR(AVERAGE(Data!I881), "  ")</f>
        <v>-1.9780219780219779E-2</v>
      </c>
      <c r="J878" s="42">
        <f>IFERROR(AVERAGE(Data!J881), "  ")</f>
        <v>-9</v>
      </c>
      <c r="K878" s="44">
        <f>IFERROR(AVERAGE(Data!K881), "  ")</f>
        <v>9.8330241187384038E-2</v>
      </c>
      <c r="L878" s="45">
        <f>IFERROR(AVERAGE(Data!L881), "  ")</f>
        <v>514.66666666666663</v>
      </c>
    </row>
    <row r="879" spans="1:12" x14ac:dyDescent="0.2">
      <c r="A879" s="43"/>
      <c r="B879" s="42">
        <f>IFERROR(AVERAGE(Data!B882), "  ")</f>
        <v>289</v>
      </c>
      <c r="C879" s="42">
        <f>IFERROR(AVERAGE(Data!C882), "  ")</f>
        <v>23</v>
      </c>
      <c r="D879" s="42">
        <f>IFERROR(AVERAGE(Data!D882), "  ")</f>
        <v>59</v>
      </c>
      <c r="E879" s="42">
        <f>IFERROR(AVERAGE(Data!E882), "  ")</f>
        <v>371</v>
      </c>
      <c r="F879" s="42">
        <f>IFERROR(AVERAGE(Data!F882), "  ")</f>
        <v>510</v>
      </c>
      <c r="G879" s="42">
        <f>IFERROR(AVERAGE(Data!G882), "  ")</f>
        <v>139</v>
      </c>
      <c r="H879" s="44">
        <f>IFERROR(AVERAGE(Data!H882), "  ")</f>
        <v>-0.13851351351351351</v>
      </c>
      <c r="I879" s="44">
        <f>IFERROR(AVERAGE(Data!I882), "  ")</f>
        <v>-0.16816143497757849</v>
      </c>
      <c r="J879" s="42">
        <f>IFERROR(AVERAGE(Data!J882), "  ")</f>
        <v>-75</v>
      </c>
      <c r="K879" s="44">
        <f>IFERROR(AVERAGE(Data!K882), "  ")</f>
        <v>-0.27246790299572038</v>
      </c>
      <c r="L879" s="45">
        <f>IFERROR(AVERAGE(Data!L882), "  ")</f>
        <v>608.66666666666663</v>
      </c>
    </row>
    <row r="880" spans="1:12" x14ac:dyDescent="0.2">
      <c r="A880" s="43"/>
      <c r="B880" s="42">
        <f>IFERROR(AVERAGE(Data!B883), "  ")</f>
        <v>298</v>
      </c>
      <c r="C880" s="42">
        <f>IFERROR(AVERAGE(Data!C883), "  ")</f>
        <v>28</v>
      </c>
      <c r="D880" s="42">
        <f>IFERROR(AVERAGE(Data!D883), "  ")</f>
        <v>133</v>
      </c>
      <c r="E880" s="42">
        <f>IFERROR(AVERAGE(Data!E883), "  ")</f>
        <v>459</v>
      </c>
      <c r="F880" s="42">
        <f>IFERROR(AVERAGE(Data!F883), "  ")</f>
        <v>750</v>
      </c>
      <c r="G880" s="42">
        <f>IFERROR(AVERAGE(Data!G883), "  ")</f>
        <v>291</v>
      </c>
      <c r="H880" s="44">
        <f>IFERROR(AVERAGE(Data!H883), "  ")</f>
        <v>0.47058823529411764</v>
      </c>
      <c r="I880" s="44">
        <f>IFERROR(AVERAGE(Data!I883), "  ")</f>
        <v>0.23719676549865229</v>
      </c>
      <c r="J880" s="42">
        <f>IFERROR(AVERAGE(Data!J883), "  ")</f>
        <v>88</v>
      </c>
      <c r="K880" s="44">
        <f>IFERROR(AVERAGE(Data!K883), "  ")</f>
        <v>0.15384615384615385</v>
      </c>
      <c r="L880" s="45">
        <f>IFERROR(AVERAGE(Data!L883), "  ")</f>
        <v>642</v>
      </c>
    </row>
    <row r="881" spans="1:12" x14ac:dyDescent="0.2">
      <c r="A881" s="43"/>
      <c r="B881" s="42">
        <f>IFERROR(AVERAGE(Data!B884), "  ")</f>
        <v>389</v>
      </c>
      <c r="C881" s="42">
        <f>IFERROR(AVERAGE(Data!C884), "  ")</f>
        <v>17</v>
      </c>
      <c r="D881" s="42">
        <f>IFERROR(AVERAGE(Data!D884), "  ")</f>
        <v>72</v>
      </c>
      <c r="E881" s="42">
        <f>IFERROR(AVERAGE(Data!E884), "  ")</f>
        <v>478</v>
      </c>
      <c r="F881" s="42">
        <f>IFERROR(AVERAGE(Data!F884), "  ")</f>
        <v>681</v>
      </c>
      <c r="G881" s="42">
        <f>IFERROR(AVERAGE(Data!G884), "  ")</f>
        <v>203</v>
      </c>
      <c r="H881" s="44">
        <f>IFERROR(AVERAGE(Data!H884), "  ")</f>
        <v>-9.1999999999999998E-2</v>
      </c>
      <c r="I881" s="44">
        <f>IFERROR(AVERAGE(Data!I884), "  ")</f>
        <v>4.1394335511982572E-2</v>
      </c>
      <c r="J881" s="42">
        <f>IFERROR(AVERAGE(Data!J884), "  ")</f>
        <v>19</v>
      </c>
      <c r="K881" s="44">
        <f>IFERROR(AVERAGE(Data!K884), "  ")</f>
        <v>0.17413793103448275</v>
      </c>
      <c r="L881" s="45">
        <f>IFERROR(AVERAGE(Data!L884), "  ")</f>
        <v>694</v>
      </c>
    </row>
    <row r="882" spans="1:12" x14ac:dyDescent="0.2">
      <c r="A882" s="43"/>
      <c r="B882" s="42">
        <f>IFERROR(AVERAGE(Data!B885), "  ")</f>
        <v>235</v>
      </c>
      <c r="C882" s="42">
        <f>IFERROR(AVERAGE(Data!C885), "  ")</f>
        <v>22</v>
      </c>
      <c r="D882" s="42">
        <f>IFERROR(AVERAGE(Data!D885), "  ")</f>
        <v>84</v>
      </c>
      <c r="E882" s="42">
        <f>IFERROR(AVERAGE(Data!E885), "  ")</f>
        <v>341</v>
      </c>
      <c r="F882" s="42">
        <f>IFERROR(AVERAGE(Data!F885), "  ")</f>
        <v>473</v>
      </c>
      <c r="G882" s="42">
        <f>IFERROR(AVERAGE(Data!G885), "  ")</f>
        <v>132</v>
      </c>
      <c r="H882" s="44">
        <f>IFERROR(AVERAGE(Data!H885), "  ")</f>
        <v>-0.3054331864904552</v>
      </c>
      <c r="I882" s="44">
        <f>IFERROR(AVERAGE(Data!I885), "  ")</f>
        <v>-0.28661087866108786</v>
      </c>
      <c r="J882" s="42">
        <f>IFERROR(AVERAGE(Data!J885), "  ")</f>
        <v>-137</v>
      </c>
      <c r="K882" s="44">
        <f>IFERROR(AVERAGE(Data!K885), "  ")</f>
        <v>-7.6171875E-2</v>
      </c>
      <c r="L882" s="45">
        <f>IFERROR(AVERAGE(Data!L885), "  ")</f>
        <v>642.66666666666663</v>
      </c>
    </row>
    <row r="883" spans="1:12" x14ac:dyDescent="0.2">
      <c r="A883" s="43"/>
      <c r="B883" s="42">
        <f>IFERROR(AVERAGE(Data!B886), "  ")</f>
        <v>160</v>
      </c>
      <c r="C883" s="42">
        <f>IFERROR(AVERAGE(Data!C886), "  ")</f>
        <v>21</v>
      </c>
      <c r="D883" s="42">
        <f>IFERROR(AVERAGE(Data!D886), "  ")</f>
        <v>39</v>
      </c>
      <c r="E883" s="42">
        <f>IFERROR(AVERAGE(Data!E886), "  ")</f>
        <v>220</v>
      </c>
      <c r="F883" s="42">
        <f>IFERROR(AVERAGE(Data!F886), "  ")</f>
        <v>649</v>
      </c>
      <c r="G883" s="42">
        <f>IFERROR(AVERAGE(Data!G886), "  ")</f>
        <v>429</v>
      </c>
      <c r="H883" s="44">
        <f>IFERROR(AVERAGE(Data!H886), "  ")</f>
        <v>0.37209302325581395</v>
      </c>
      <c r="I883" s="44">
        <f>IFERROR(AVERAGE(Data!I886), "  ")</f>
        <v>-0.35483870967741937</v>
      </c>
      <c r="J883" s="42">
        <f>IFERROR(AVERAGE(Data!J886), "  ")</f>
        <v>-121</v>
      </c>
      <c r="K883" s="44">
        <f>IFERROR(AVERAGE(Data!K886), "  ")</f>
        <v>0.3326488706365503</v>
      </c>
      <c r="L883" s="45">
        <f>IFERROR(AVERAGE(Data!L886), "  ")</f>
        <v>588.66666666666663</v>
      </c>
    </row>
    <row r="884" spans="1:12" x14ac:dyDescent="0.2">
      <c r="A884" s="43"/>
      <c r="B884" s="42">
        <f>IFERROR(AVERAGE(Data!B887), "  ")</f>
        <v>174</v>
      </c>
      <c r="C884" s="42">
        <f>IFERROR(AVERAGE(Data!C887), "  ")</f>
        <v>18</v>
      </c>
      <c r="D884" s="42">
        <f>IFERROR(AVERAGE(Data!D887), "  ")</f>
        <v>43</v>
      </c>
      <c r="E884" s="42">
        <f>IFERROR(AVERAGE(Data!E887), "  ")</f>
        <v>235</v>
      </c>
      <c r="F884" s="42">
        <f>IFERROR(AVERAGE(Data!F887), "  ")</f>
        <v>513</v>
      </c>
      <c r="G884" s="42">
        <f>IFERROR(AVERAGE(Data!G887), "  ")</f>
        <v>278</v>
      </c>
      <c r="H884" s="44">
        <f>IFERROR(AVERAGE(Data!H887), "  ")</f>
        <v>-0.20955315870570107</v>
      </c>
      <c r="I884" s="44">
        <f>IFERROR(AVERAGE(Data!I887), "  ")</f>
        <v>6.8181818181818177E-2</v>
      </c>
      <c r="J884" s="42">
        <f>IFERROR(AVERAGE(Data!J887), "  ")</f>
        <v>15</v>
      </c>
      <c r="K884" s="44" t="str">
        <f>IFERROR(AVERAGE(Data!K887), "  ")</f>
        <v xml:space="preserve">  </v>
      </c>
      <c r="L884" s="45" t="str">
        <f>IFERROR(AVERAGE(Data!L887), "  ")</f>
        <v xml:space="preserve">  </v>
      </c>
    </row>
    <row r="885" spans="1:12" x14ac:dyDescent="0.2">
      <c r="A885" s="43"/>
      <c r="B885" s="42">
        <f>IFERROR(AVERAGE(Data!B888), "  ")</f>
        <v>119</v>
      </c>
      <c r="C885" s="42">
        <f>IFERROR(AVERAGE(Data!C888), "  ")</f>
        <v>6</v>
      </c>
      <c r="D885" s="42">
        <f>IFERROR(AVERAGE(Data!D888), "  ")</f>
        <v>25</v>
      </c>
      <c r="E885" s="42">
        <f>IFERROR(AVERAGE(Data!E888), "  ")</f>
        <v>150</v>
      </c>
      <c r="F885" s="42">
        <f>IFERROR(AVERAGE(Data!F888), "  ")</f>
        <v>470</v>
      </c>
      <c r="G885" s="42">
        <f>IFERROR(AVERAGE(Data!G888), "  ")</f>
        <v>320</v>
      </c>
      <c r="H885" s="44">
        <f>IFERROR(AVERAGE(Data!H888), "  ")</f>
        <v>-8.3820662768031184E-2</v>
      </c>
      <c r="I885" s="44">
        <f>IFERROR(AVERAGE(Data!I888), "  ")</f>
        <v>-0.36170212765957449</v>
      </c>
      <c r="J885" s="42">
        <f>IFERROR(AVERAGE(Data!J888), "  ")</f>
        <v>-85</v>
      </c>
      <c r="K885" s="44" t="str">
        <f>IFERROR(AVERAGE(Data!K888), "  ")</f>
        <v xml:space="preserve">  </v>
      </c>
      <c r="L885" s="45" t="str">
        <f>IFERROR(AVERAGE(Data!L888), "  ")</f>
        <v xml:space="preserve">  </v>
      </c>
    </row>
    <row r="886" spans="1:12" x14ac:dyDescent="0.2">
      <c r="A886" s="43"/>
      <c r="B886" s="42">
        <f>IFERROR(AVERAGE(Data!B889), "  ")</f>
        <v>95</v>
      </c>
      <c r="C886" s="42">
        <f>IFERROR(AVERAGE(Data!C889), "  ")</f>
        <v>19</v>
      </c>
      <c r="D886" s="42">
        <f>IFERROR(AVERAGE(Data!D889), "  ")</f>
        <v>41</v>
      </c>
      <c r="E886" s="42">
        <f>IFERROR(AVERAGE(Data!E889), "  ")</f>
        <v>155</v>
      </c>
      <c r="F886" s="42">
        <f>IFERROR(AVERAGE(Data!F889), "  ")</f>
        <v>348</v>
      </c>
      <c r="G886" s="42">
        <f>IFERROR(AVERAGE(Data!G889), "  ")</f>
        <v>193</v>
      </c>
      <c r="H886" s="44">
        <f>IFERROR(AVERAGE(Data!H889), "  ")</f>
        <v>-0.25957446808510637</v>
      </c>
      <c r="I886" s="44">
        <f>IFERROR(AVERAGE(Data!I889), "  ")</f>
        <v>3.3333333333333333E-2</v>
      </c>
      <c r="J886" s="42">
        <f>IFERROR(AVERAGE(Data!J889), "  ")</f>
        <v>5</v>
      </c>
      <c r="K886" s="44" t="str">
        <f>IFERROR(AVERAGE(Data!K889), "  ")</f>
        <v xml:space="preserve">  </v>
      </c>
      <c r="L886" s="45" t="str">
        <f>IFERROR(AVERAGE(Data!L889), "  ")</f>
        <v xml:space="preserve">  </v>
      </c>
    </row>
    <row r="887" spans="1:12" x14ac:dyDescent="0.2">
      <c r="A887" s="43"/>
      <c r="B887" s="42">
        <f>IFERROR(AVERAGE(Data!B890), "  ")</f>
        <v>74</v>
      </c>
      <c r="C887" s="42">
        <f>IFERROR(AVERAGE(Data!C890), "  ")</f>
        <v>16</v>
      </c>
      <c r="D887" s="42">
        <f>IFERROR(AVERAGE(Data!D890), "  ")</f>
        <v>40</v>
      </c>
      <c r="E887" s="42">
        <f>IFERROR(AVERAGE(Data!E890), "  ")</f>
        <v>130</v>
      </c>
      <c r="F887" s="42">
        <f>IFERROR(AVERAGE(Data!F890), "  ")</f>
        <v>583</v>
      </c>
      <c r="G887" s="42">
        <f>IFERROR(AVERAGE(Data!G890), "  ")</f>
        <v>453</v>
      </c>
      <c r="H887" s="44">
        <f>IFERROR(AVERAGE(Data!H890), "  ")</f>
        <v>0.67528735632183912</v>
      </c>
      <c r="I887" s="44">
        <f>IFERROR(AVERAGE(Data!I890), "  ")</f>
        <v>-0.16129032258064516</v>
      </c>
      <c r="J887" s="42">
        <f>IFERROR(AVERAGE(Data!J890), "  ")</f>
        <v>-25</v>
      </c>
      <c r="K887" s="44">
        <f>IFERROR(AVERAGE(Data!K890), "  ")</f>
        <v>1.27734375</v>
      </c>
      <c r="L887" s="45">
        <f>IFERROR(AVERAGE(Data!L890), "  ")</f>
        <v>507</v>
      </c>
    </row>
    <row r="888" spans="1:12" x14ac:dyDescent="0.2">
      <c r="A888" s="43"/>
      <c r="B888" s="42">
        <f>IFERROR(AVERAGE(Data!B891), "  ")</f>
        <v>37</v>
      </c>
      <c r="C888" s="42">
        <f>IFERROR(AVERAGE(Data!C891), "  ")</f>
        <v>34</v>
      </c>
      <c r="D888" s="42">
        <f>IFERROR(AVERAGE(Data!D891), "  ")</f>
        <v>65</v>
      </c>
      <c r="E888" s="42">
        <f>IFERROR(AVERAGE(Data!E891), "  ")</f>
        <v>136</v>
      </c>
      <c r="F888" s="42">
        <f>IFERROR(AVERAGE(Data!F891), "  ")</f>
        <v>489</v>
      </c>
      <c r="G888" s="42">
        <f>IFERROR(AVERAGE(Data!G891), "  ")</f>
        <v>353</v>
      </c>
      <c r="H888" s="44">
        <f>IFERROR(AVERAGE(Data!H891), "  ")</f>
        <v>-0.16123499142367068</v>
      </c>
      <c r="I888" s="44">
        <f>IFERROR(AVERAGE(Data!I891), "  ")</f>
        <v>4.6153846153846156E-2</v>
      </c>
      <c r="J888" s="42">
        <f>IFERROR(AVERAGE(Data!J891), "  ")</f>
        <v>6</v>
      </c>
      <c r="K888" s="44">
        <f>IFERROR(AVERAGE(Data!K891), "  ")</f>
        <v>0.2506393861892583</v>
      </c>
      <c r="L888" s="45">
        <f>IFERROR(AVERAGE(Data!L891), "  ")</f>
        <v>594.66666666666663</v>
      </c>
    </row>
    <row r="889" spans="1:12" x14ac:dyDescent="0.2">
      <c r="A889" s="43"/>
      <c r="B889" s="42">
        <f>IFERROR(AVERAGE(Data!B892), "  ")</f>
        <v>119</v>
      </c>
      <c r="C889" s="42">
        <f>IFERROR(AVERAGE(Data!C892), "  ")</f>
        <v>34</v>
      </c>
      <c r="D889" s="42">
        <f>IFERROR(AVERAGE(Data!D892), "  ")</f>
        <v>67</v>
      </c>
      <c r="E889" s="42">
        <f>IFERROR(AVERAGE(Data!E892), "  ")</f>
        <v>220</v>
      </c>
      <c r="F889" s="42">
        <f>IFERROR(AVERAGE(Data!F892), "  ")</f>
        <v>576</v>
      </c>
      <c r="G889" s="42">
        <f>IFERROR(AVERAGE(Data!G892), "  ")</f>
        <v>356</v>
      </c>
      <c r="H889" s="44">
        <f>IFERROR(AVERAGE(Data!H892), "  ")</f>
        <v>0.17791411042944785</v>
      </c>
      <c r="I889" s="44">
        <f>IFERROR(AVERAGE(Data!I892), "  ")</f>
        <v>0.61764705882352944</v>
      </c>
      <c r="J889" s="42">
        <f>IFERROR(AVERAGE(Data!J892), "  ")</f>
        <v>84</v>
      </c>
      <c r="K889" s="44">
        <f>IFERROR(AVERAGE(Data!K892), "  ")</f>
        <v>-9.5761381475667193E-2</v>
      </c>
      <c r="L889" s="45">
        <f>IFERROR(AVERAGE(Data!L892), "  ")</f>
        <v>739.66666666666663</v>
      </c>
    </row>
    <row r="890" spans="1:12" x14ac:dyDescent="0.2">
      <c r="A890" s="43"/>
      <c r="B890" s="42">
        <f>IFERROR(AVERAGE(Data!B893), "  ")</f>
        <v>187</v>
      </c>
      <c r="C890" s="42">
        <f>IFERROR(AVERAGE(Data!C893), "  ")</f>
        <v>12</v>
      </c>
      <c r="D890" s="42">
        <f>IFERROR(AVERAGE(Data!D893), "  ")</f>
        <v>228</v>
      </c>
      <c r="E890" s="42">
        <f>IFERROR(AVERAGE(Data!E893), "  ")</f>
        <v>427</v>
      </c>
      <c r="F890" s="42">
        <f>IFERROR(AVERAGE(Data!F893), "  ")</f>
        <v>472</v>
      </c>
      <c r="G890" s="42">
        <f>IFERROR(AVERAGE(Data!G893), "  ")</f>
        <v>45</v>
      </c>
      <c r="H890" s="44">
        <f>IFERROR(AVERAGE(Data!H893), "  ")</f>
        <v>-0.18055555555555555</v>
      </c>
      <c r="I890" s="44">
        <f>IFERROR(AVERAGE(Data!I893), "  ")</f>
        <v>0.94090909090909092</v>
      </c>
      <c r="J890" s="42">
        <f>IFERROR(AVERAGE(Data!J893), "  ")</f>
        <v>207</v>
      </c>
      <c r="K890" s="44">
        <f>IFERROR(AVERAGE(Data!K893), "  ")</f>
        <v>-0.36813922356091033</v>
      </c>
      <c r="L890" s="45">
        <f>IFERROR(AVERAGE(Data!L893), "  ")</f>
        <v>747.33333333333337</v>
      </c>
    </row>
    <row r="891" spans="1:12" x14ac:dyDescent="0.2">
      <c r="A891" s="43"/>
      <c r="B891" s="42">
        <f>IFERROR(AVERAGE(Data!B894), "  ")</f>
        <v>275</v>
      </c>
      <c r="C891" s="42">
        <f>IFERROR(AVERAGE(Data!C894), "  ")</f>
        <v>13</v>
      </c>
      <c r="D891" s="42">
        <f>IFERROR(AVERAGE(Data!D894), "  ")</f>
        <v>126</v>
      </c>
      <c r="E891" s="42">
        <f>IFERROR(AVERAGE(Data!E894), "  ")</f>
        <v>414</v>
      </c>
      <c r="F891" s="42">
        <f>IFERROR(AVERAGE(Data!F894), "  ")</f>
        <v>715</v>
      </c>
      <c r="G891" s="42">
        <f>IFERROR(AVERAGE(Data!G894), "  ")</f>
        <v>301</v>
      </c>
      <c r="H891" s="44">
        <f>IFERROR(AVERAGE(Data!H894), "  ")</f>
        <v>0.51483050847457623</v>
      </c>
      <c r="I891" s="44">
        <f>IFERROR(AVERAGE(Data!I894), "  ")</f>
        <v>-3.0444964871194378E-2</v>
      </c>
      <c r="J891" s="42">
        <f>IFERROR(AVERAGE(Data!J894), "  ")</f>
        <v>-13</v>
      </c>
      <c r="K891" s="44">
        <f>IFERROR(AVERAGE(Data!K894), "  ")</f>
        <v>-7.3834196891191708E-2</v>
      </c>
      <c r="L891" s="45">
        <f>IFERROR(AVERAGE(Data!L894), "  ")</f>
        <v>836.33333333333337</v>
      </c>
    </row>
    <row r="892" spans="1:12" x14ac:dyDescent="0.2">
      <c r="A892" s="43"/>
      <c r="B892" s="42">
        <f>IFERROR(AVERAGE(Data!B895), "  ")</f>
        <v>236</v>
      </c>
      <c r="C892" s="42">
        <f>IFERROR(AVERAGE(Data!C895), "  ")</f>
        <v>20</v>
      </c>
      <c r="D892" s="42">
        <f>IFERROR(AVERAGE(Data!D895), "  ")</f>
        <v>109</v>
      </c>
      <c r="E892" s="42">
        <f>IFERROR(AVERAGE(Data!E895), "  ")</f>
        <v>365</v>
      </c>
      <c r="F892" s="42">
        <f>IFERROR(AVERAGE(Data!F895), "  ")</f>
        <v>851</v>
      </c>
      <c r="G892" s="42">
        <f>IFERROR(AVERAGE(Data!G895), "  ")</f>
        <v>486</v>
      </c>
      <c r="H892" s="44">
        <f>IFERROR(AVERAGE(Data!H895), "  ")</f>
        <v>0.1902097902097902</v>
      </c>
      <c r="I892" s="44">
        <f>IFERROR(AVERAGE(Data!I895), "  ")</f>
        <v>-0.11835748792270531</v>
      </c>
      <c r="J892" s="42">
        <f>IFERROR(AVERAGE(Data!J895), "  ")</f>
        <v>-49</v>
      </c>
      <c r="K892" s="44">
        <f>IFERROR(AVERAGE(Data!K895), "  ")</f>
        <v>0.1167979002624672</v>
      </c>
      <c r="L892" s="45">
        <f>IFERROR(AVERAGE(Data!L895), "  ")</f>
        <v>783</v>
      </c>
    </row>
    <row r="893" spans="1:12" x14ac:dyDescent="0.2">
      <c r="A893" s="43"/>
      <c r="B893" s="42">
        <f>IFERROR(AVERAGE(Data!B896), "  ")</f>
        <v>220</v>
      </c>
      <c r="C893" s="42">
        <f>IFERROR(AVERAGE(Data!C896), "  ")</f>
        <v>17</v>
      </c>
      <c r="D893" s="42">
        <f>IFERROR(AVERAGE(Data!D896), "  ")</f>
        <v>102</v>
      </c>
      <c r="E893" s="42">
        <f>IFERROR(AVERAGE(Data!E896), "  ")</f>
        <v>339</v>
      </c>
      <c r="F893" s="42">
        <f>IFERROR(AVERAGE(Data!F896), "  ")</f>
        <v>598</v>
      </c>
      <c r="G893" s="42">
        <f>IFERROR(AVERAGE(Data!G896), "  ")</f>
        <v>259</v>
      </c>
      <c r="H893" s="44">
        <f>IFERROR(AVERAGE(Data!H896), "  ")</f>
        <v>-0.29729729729729731</v>
      </c>
      <c r="I893" s="44">
        <f>IFERROR(AVERAGE(Data!I896), "  ")</f>
        <v>-7.1232876712328766E-2</v>
      </c>
      <c r="J893" s="42">
        <f>IFERROR(AVERAGE(Data!J896), "  ")</f>
        <v>-26</v>
      </c>
      <c r="K893" s="44">
        <f>IFERROR(AVERAGE(Data!K896), "  ")</f>
        <v>-0.24685138539042822</v>
      </c>
      <c r="L893" s="45">
        <f>IFERROR(AVERAGE(Data!L896), "  ")</f>
        <v>711</v>
      </c>
    </row>
    <row r="894" spans="1:12" x14ac:dyDescent="0.2">
      <c r="A894" s="43"/>
      <c r="B894" s="42">
        <f>IFERROR(AVERAGE(Data!B897), "  ")</f>
        <v>288</v>
      </c>
      <c r="C894" s="42">
        <f>IFERROR(AVERAGE(Data!C897), "  ")</f>
        <v>21</v>
      </c>
      <c r="D894" s="42">
        <f>IFERROR(AVERAGE(Data!D897), "  ")</f>
        <v>131</v>
      </c>
      <c r="E894" s="42">
        <f>IFERROR(AVERAGE(Data!E897), "  ")</f>
        <v>440</v>
      </c>
      <c r="F894" s="42">
        <f>IFERROR(AVERAGE(Data!F897), "  ")</f>
        <v>617</v>
      </c>
      <c r="G894" s="42">
        <f>IFERROR(AVERAGE(Data!G897), "  ")</f>
        <v>177</v>
      </c>
      <c r="H894" s="44">
        <f>IFERROR(AVERAGE(Data!H897), "  ")</f>
        <v>3.177257525083612E-2</v>
      </c>
      <c r="I894" s="44">
        <f>IFERROR(AVERAGE(Data!I897), "  ")</f>
        <v>0.29793510324483774</v>
      </c>
      <c r="J894" s="42">
        <f>IFERROR(AVERAGE(Data!J897), "  ")</f>
        <v>101</v>
      </c>
      <c r="K894" s="44">
        <f>IFERROR(AVERAGE(Data!K897), "  ")</f>
        <v>-0.29726651480637811</v>
      </c>
      <c r="L894" s="45">
        <f>IFERROR(AVERAGE(Data!L897), "  ")</f>
        <v>869</v>
      </c>
    </row>
    <row r="895" spans="1:12" x14ac:dyDescent="0.2">
      <c r="A895" s="43"/>
      <c r="B895" s="42" t="str">
        <f>IFERROR(AVERAGE(Data!#REF!), "  ")</f>
        <v xml:space="preserve">  </v>
      </c>
      <c r="C895" s="42" t="str">
        <f>IFERROR(AVERAGE(Data!#REF!), "  ")</f>
        <v xml:space="preserve">  </v>
      </c>
      <c r="D895" s="42" t="str">
        <f>IFERROR(AVERAGE(Data!#REF!), "  ")</f>
        <v xml:space="preserve">  </v>
      </c>
      <c r="E895" s="42" t="str">
        <f>IFERROR(AVERAGE(Data!#REF!), "  ")</f>
        <v xml:space="preserve">  </v>
      </c>
      <c r="F895" s="42" t="str">
        <f>IFERROR(AVERAGE(Data!#REF!), "  ")</f>
        <v xml:space="preserve">  </v>
      </c>
      <c r="G895" s="42" t="str">
        <f>IFERROR(AVERAGE(Data!#REF!), "  ")</f>
        <v xml:space="preserve">  </v>
      </c>
      <c r="H895" s="44" t="str">
        <f>IFERROR(AVERAGE(Data!#REF!), "  ")</f>
        <v xml:space="preserve">  </v>
      </c>
      <c r="I895" s="44" t="str">
        <f>IFERROR(AVERAGE(Data!#REF!), "  ")</f>
        <v xml:space="preserve">  </v>
      </c>
      <c r="J895" s="42" t="str">
        <f>IFERROR(AVERAGE(Data!#REF!), "  ")</f>
        <v xml:space="preserve">  </v>
      </c>
      <c r="K895" s="44" t="str">
        <f>IFERROR(AVERAGE(Data!#REF!), "  ")</f>
        <v xml:space="preserve">  </v>
      </c>
      <c r="L895" s="45" t="str">
        <f>IFERROR(AVERAGE(Data!#REF!), "  ")</f>
        <v xml:space="preserve">  </v>
      </c>
    </row>
    <row r="896" spans="1:12" x14ac:dyDescent="0.2">
      <c r="A896" s="43"/>
      <c r="B896" s="42">
        <f>IFERROR(AVERAGE(Data!B898), "  ")</f>
        <v>284</v>
      </c>
      <c r="C896" s="42">
        <f>IFERROR(AVERAGE(Data!C898), "  ")</f>
        <v>10</v>
      </c>
      <c r="D896" s="42">
        <f>IFERROR(AVERAGE(Data!D898), "  ")</f>
        <v>89</v>
      </c>
      <c r="E896" s="42">
        <f>IFERROR(AVERAGE(Data!E898), "  ")</f>
        <v>383</v>
      </c>
      <c r="F896" s="42">
        <f>IFERROR(AVERAGE(Data!F898), "  ")</f>
        <v>830</v>
      </c>
      <c r="G896" s="42">
        <f>IFERROR(AVERAGE(Data!G898), "  ")</f>
        <v>447</v>
      </c>
      <c r="H896" s="44">
        <f>IFERROR(AVERAGE(Data!H898), "  ")</f>
        <v>0.34521880064829824</v>
      </c>
      <c r="I896" s="44">
        <f>IFERROR(AVERAGE(Data!I898), "  ")</f>
        <v>-0.12954545454545455</v>
      </c>
      <c r="J896" s="42">
        <f>IFERROR(AVERAGE(Data!J898), "  ")</f>
        <v>-57</v>
      </c>
      <c r="K896" s="44">
        <f>IFERROR(AVERAGE(Data!K898), "  ")</f>
        <v>-8.590308370044053E-2</v>
      </c>
      <c r="L896" s="45">
        <f>IFERROR(AVERAGE(Data!L898), "  ")</f>
        <v>851.66666666666663</v>
      </c>
    </row>
    <row r="897" spans="1:12" x14ac:dyDescent="0.2">
      <c r="A897" s="43"/>
      <c r="B897" s="42">
        <f>IFERROR(AVERAGE(Data!B899), "  ")</f>
        <v>348</v>
      </c>
      <c r="C897" s="42">
        <f>IFERROR(AVERAGE(Data!C899), "  ")</f>
        <v>23</v>
      </c>
      <c r="D897" s="42">
        <f>IFERROR(AVERAGE(Data!D899), "  ")</f>
        <v>244</v>
      </c>
      <c r="E897" s="42">
        <f>IFERROR(AVERAGE(Data!E899), "  ")</f>
        <v>615</v>
      </c>
      <c r="F897" s="42">
        <f>IFERROR(AVERAGE(Data!F899), "  ")</f>
        <v>826</v>
      </c>
      <c r="G897" s="42">
        <f>IFERROR(AVERAGE(Data!G899), "  ")</f>
        <v>211</v>
      </c>
      <c r="H897" s="44">
        <f>IFERROR(AVERAGE(Data!H899), "  ")</f>
        <v>-4.8192771084337354E-3</v>
      </c>
      <c r="I897" s="44">
        <f>IFERROR(AVERAGE(Data!I899), "  ")</f>
        <v>0.60574412532637079</v>
      </c>
      <c r="J897" s="42">
        <f>IFERROR(AVERAGE(Data!J899), "  ")</f>
        <v>232</v>
      </c>
      <c r="K897" s="44">
        <f>IFERROR(AVERAGE(Data!K899), "  ")</f>
        <v>-7.2951739618406286E-2</v>
      </c>
      <c r="L897" s="45">
        <f>IFERROR(AVERAGE(Data!L899), "  ")</f>
        <v>912</v>
      </c>
    </row>
    <row r="898" spans="1:12" x14ac:dyDescent="0.2">
      <c r="A898" s="43"/>
      <c r="B898" s="42">
        <f>IFERROR(AVERAGE(Data!B900), "  ")</f>
        <v>324</v>
      </c>
      <c r="C898" s="42">
        <f>IFERROR(AVERAGE(Data!C900), "  ")</f>
        <v>26</v>
      </c>
      <c r="D898" s="42">
        <f>IFERROR(AVERAGE(Data!D900), "  ")</f>
        <v>134</v>
      </c>
      <c r="E898" s="42">
        <f>IFERROR(AVERAGE(Data!E900), "  ")</f>
        <v>484</v>
      </c>
      <c r="F898" s="42">
        <f>IFERROR(AVERAGE(Data!F900), "  ")</f>
        <v>731</v>
      </c>
      <c r="G898" s="42">
        <f>IFERROR(AVERAGE(Data!G900), "  ")</f>
        <v>247</v>
      </c>
      <c r="H898" s="44">
        <f>IFERROR(AVERAGE(Data!H900), "  ")</f>
        <v>-0.11501210653753027</v>
      </c>
      <c r="I898" s="44">
        <f>IFERROR(AVERAGE(Data!I900), "  ")</f>
        <v>-0.21300813008130082</v>
      </c>
      <c r="J898" s="42">
        <f>IFERROR(AVERAGE(Data!J900), "  ")</f>
        <v>-131</v>
      </c>
      <c r="K898" s="44">
        <f>IFERROR(AVERAGE(Data!K900), "  ")</f>
        <v>-0.1949339207048458</v>
      </c>
      <c r="L898" s="45">
        <f>IFERROR(AVERAGE(Data!L900), "  ")</f>
        <v>853</v>
      </c>
    </row>
    <row r="899" spans="1:12" x14ac:dyDescent="0.2">
      <c r="A899" s="43"/>
      <c r="B899" s="42">
        <f>IFERROR(AVERAGE(Data!B901), "  ")</f>
        <v>364</v>
      </c>
      <c r="C899" s="42">
        <f>IFERROR(AVERAGE(Data!C901), "  ")</f>
        <v>21</v>
      </c>
      <c r="D899" s="42">
        <f>IFERROR(AVERAGE(Data!D901), "  ")</f>
        <v>136</v>
      </c>
      <c r="E899" s="42">
        <f>IFERROR(AVERAGE(Data!E901), "  ")</f>
        <v>521</v>
      </c>
      <c r="F899" s="42">
        <f>IFERROR(AVERAGE(Data!F901), "  ")</f>
        <v>886</v>
      </c>
      <c r="G899" s="42">
        <f>IFERROR(AVERAGE(Data!G901), "  ")</f>
        <v>365</v>
      </c>
      <c r="H899" s="44">
        <f>IFERROR(AVERAGE(Data!H901), "  ")</f>
        <v>0.21203830369357046</v>
      </c>
      <c r="I899" s="44">
        <f>IFERROR(AVERAGE(Data!I901), "  ")</f>
        <v>7.6446280991735532E-2</v>
      </c>
      <c r="J899" s="42">
        <f>IFERROR(AVERAGE(Data!J901), "  ")</f>
        <v>37</v>
      </c>
      <c r="K899" s="44">
        <f>IFERROR(AVERAGE(Data!K901), "  ")</f>
        <v>0.18291054739652871</v>
      </c>
      <c r="L899" s="45">
        <f>IFERROR(AVERAGE(Data!L901), "  ")</f>
        <v>842.33333333333337</v>
      </c>
    </row>
    <row r="900" spans="1:12" x14ac:dyDescent="0.2">
      <c r="A900" s="43"/>
      <c r="B900" s="42">
        <f>IFERROR(AVERAGE(Data!B902), "  ")</f>
        <v>310</v>
      </c>
      <c r="C900" s="42">
        <f>IFERROR(AVERAGE(Data!C902), "  ")</f>
        <v>13</v>
      </c>
      <c r="D900" s="42">
        <f>IFERROR(AVERAGE(Data!D902), "  ")</f>
        <v>197</v>
      </c>
      <c r="E900" s="42">
        <f>IFERROR(AVERAGE(Data!E902), "  ")</f>
        <v>520</v>
      </c>
      <c r="F900" s="42">
        <f>IFERROR(AVERAGE(Data!F902), "  ")</f>
        <v>719</v>
      </c>
      <c r="G900" s="42">
        <f>IFERROR(AVERAGE(Data!G902), "  ")</f>
        <v>199</v>
      </c>
      <c r="H900" s="44">
        <f>IFERROR(AVERAGE(Data!H902), "  ")</f>
        <v>-0.18848758465011287</v>
      </c>
      <c r="I900" s="44">
        <f>IFERROR(AVERAGE(Data!I902), "  ")</f>
        <v>-1.9193857965451055E-3</v>
      </c>
      <c r="J900" s="42">
        <f>IFERROR(AVERAGE(Data!J902), "  ")</f>
        <v>-1</v>
      </c>
      <c r="K900" s="44">
        <f>IFERROR(AVERAGE(Data!K902), "  ")</f>
        <v>-3.4899328859060399E-2</v>
      </c>
      <c r="L900" s="45">
        <f>IFERROR(AVERAGE(Data!L902), "  ")</f>
        <v>817.33333333333337</v>
      </c>
    </row>
    <row r="901" spans="1:12" x14ac:dyDescent="0.2">
      <c r="A901" s="43"/>
      <c r="B901" s="42">
        <f>IFERROR(AVERAGE(Data!B903), "  ")</f>
        <v>360</v>
      </c>
      <c r="C901" s="42">
        <f>IFERROR(AVERAGE(Data!C903), "  ")</f>
        <v>17</v>
      </c>
      <c r="D901" s="42">
        <f>IFERROR(AVERAGE(Data!D903), "  ")</f>
        <v>143</v>
      </c>
      <c r="E901" s="42">
        <f>IFERROR(AVERAGE(Data!E903), "  ")</f>
        <v>520</v>
      </c>
      <c r="F901" s="42">
        <f>IFERROR(AVERAGE(Data!F903), "  ")</f>
        <v>987</v>
      </c>
      <c r="G901" s="42">
        <f>IFERROR(AVERAGE(Data!G903), "  ")</f>
        <v>467</v>
      </c>
      <c r="H901" s="44">
        <f>IFERROR(AVERAGE(Data!H903), "  ")</f>
        <v>0.37273991655076494</v>
      </c>
      <c r="I901" s="44">
        <f>IFERROR(AVERAGE(Data!I903), "  ")</f>
        <v>0</v>
      </c>
      <c r="J901" s="42">
        <f>IFERROR(AVERAGE(Data!J903), "  ")</f>
        <v>0</v>
      </c>
      <c r="K901" s="44">
        <f>IFERROR(AVERAGE(Data!K903), "  ")</f>
        <v>0.25253807106598986</v>
      </c>
      <c r="L901" s="45">
        <f>IFERROR(AVERAGE(Data!L903), "  ")</f>
        <v>862</v>
      </c>
    </row>
    <row r="902" spans="1:12" x14ac:dyDescent="0.2">
      <c r="A902" s="43"/>
      <c r="B902" s="42">
        <f>IFERROR(AVERAGE(Data!B904), "  ")</f>
        <v>259</v>
      </c>
      <c r="C902" s="42">
        <f>IFERROR(AVERAGE(Data!C904), "  ")</f>
        <v>8</v>
      </c>
      <c r="D902" s="42">
        <f>IFERROR(AVERAGE(Data!D904), "  ")</f>
        <v>149</v>
      </c>
      <c r="E902" s="42">
        <f>IFERROR(AVERAGE(Data!E904), "  ")</f>
        <v>416</v>
      </c>
      <c r="F902" s="42">
        <f>IFERROR(AVERAGE(Data!F904), "  ")</f>
        <v>882</v>
      </c>
      <c r="G902" s="42">
        <f>IFERROR(AVERAGE(Data!G904), "  ")</f>
        <v>466</v>
      </c>
      <c r="H902" s="44">
        <f>IFERROR(AVERAGE(Data!H904), "  ")</f>
        <v>-0.10638297872340426</v>
      </c>
      <c r="I902" s="44">
        <f>IFERROR(AVERAGE(Data!I904), "  ")</f>
        <v>-0.2</v>
      </c>
      <c r="J902" s="42">
        <f>IFERROR(AVERAGE(Data!J904), "  ")</f>
        <v>-104</v>
      </c>
      <c r="K902" s="44">
        <f>IFERROR(AVERAGE(Data!K904), "  ")</f>
        <v>3.0373831775700934E-2</v>
      </c>
      <c r="L902" s="45">
        <f>IFERROR(AVERAGE(Data!L904), "  ")</f>
        <v>787</v>
      </c>
    </row>
    <row r="903" spans="1:12" x14ac:dyDescent="0.2">
      <c r="A903" s="43"/>
      <c r="B903" s="42">
        <f>IFERROR(AVERAGE(Data!B905), "  ")</f>
        <v>101</v>
      </c>
      <c r="C903" s="42">
        <f>IFERROR(AVERAGE(Data!C905), "  ")</f>
        <v>20</v>
      </c>
      <c r="D903" s="42">
        <f>IFERROR(AVERAGE(Data!D905), "  ")</f>
        <v>139</v>
      </c>
      <c r="E903" s="42">
        <f>IFERROR(AVERAGE(Data!E905), "  ")</f>
        <v>260</v>
      </c>
      <c r="F903" s="42">
        <f>IFERROR(AVERAGE(Data!F905), "  ")</f>
        <v>787</v>
      </c>
      <c r="G903" s="42">
        <f>IFERROR(AVERAGE(Data!G905), "  ")</f>
        <v>527</v>
      </c>
      <c r="H903" s="44">
        <f>IFERROR(AVERAGE(Data!H905), "  ")</f>
        <v>-0.10770975056689343</v>
      </c>
      <c r="I903" s="44">
        <f>IFERROR(AVERAGE(Data!I905), "  ")</f>
        <v>-0.375</v>
      </c>
      <c r="J903" s="42">
        <f>IFERROR(AVERAGE(Data!J905), "  ")</f>
        <v>-156</v>
      </c>
      <c r="K903" s="44">
        <f>IFERROR(AVERAGE(Data!K905), "  ")</f>
        <v>-5.5222088835534214E-2</v>
      </c>
      <c r="L903" s="45">
        <f>IFERROR(AVERAGE(Data!L905), "  ")</f>
        <v>856.66666666666663</v>
      </c>
    </row>
    <row r="904" spans="1:12" x14ac:dyDescent="0.2">
      <c r="A904" s="43"/>
      <c r="B904" s="42">
        <f>IFERROR(AVERAGE(Data!B906), "  ")</f>
        <v>69</v>
      </c>
      <c r="C904" s="42">
        <f>IFERROR(AVERAGE(Data!C906), "  ")</f>
        <v>3</v>
      </c>
      <c r="D904" s="42">
        <f>IFERROR(AVERAGE(Data!D906), "  ")</f>
        <v>158</v>
      </c>
      <c r="E904" s="42">
        <f>IFERROR(AVERAGE(Data!E906), "  ")</f>
        <v>230</v>
      </c>
      <c r="F904" s="42">
        <f>IFERROR(AVERAGE(Data!F906), "  ")</f>
        <v>625</v>
      </c>
      <c r="G904" s="42">
        <f>IFERROR(AVERAGE(Data!G906), "  ")</f>
        <v>395</v>
      </c>
      <c r="H904" s="44">
        <f>IFERROR(AVERAGE(Data!H906), "  ")</f>
        <v>-0.20584498094027953</v>
      </c>
      <c r="I904" s="44">
        <f>IFERROR(AVERAGE(Data!I906), "  ")</f>
        <v>-0.11538461538461539</v>
      </c>
      <c r="J904" s="42">
        <f>IFERROR(AVERAGE(Data!J906), "  ")</f>
        <v>-30</v>
      </c>
      <c r="K904" s="44">
        <f>IFERROR(AVERAGE(Data!K906), "  ")</f>
        <v>-0.24879807692307693</v>
      </c>
      <c r="L904" s="45">
        <f>IFERROR(AVERAGE(Data!L906), "  ")</f>
        <v>899</v>
      </c>
    </row>
    <row r="905" spans="1:12" x14ac:dyDescent="0.2">
      <c r="A905" s="43"/>
      <c r="B905" s="42">
        <f>IFERROR(AVERAGE(Data!B907), "  ")</f>
        <v>181</v>
      </c>
      <c r="C905" s="42">
        <f>IFERROR(AVERAGE(Data!C907), "  ")</f>
        <v>24</v>
      </c>
      <c r="D905" s="42">
        <f>IFERROR(AVERAGE(Data!D907), "  ")</f>
        <v>183</v>
      </c>
      <c r="E905" s="42">
        <f>IFERROR(AVERAGE(Data!E907), "  ")</f>
        <v>388</v>
      </c>
      <c r="F905" s="42">
        <f>IFERROR(AVERAGE(Data!F907), "  ")</f>
        <v>871</v>
      </c>
      <c r="G905" s="42">
        <f>IFERROR(AVERAGE(Data!G907), "  ")</f>
        <v>483</v>
      </c>
      <c r="H905" s="44">
        <f>IFERROR(AVERAGE(Data!H907), "  ")</f>
        <v>0.39360000000000001</v>
      </c>
      <c r="I905" s="44">
        <f>IFERROR(AVERAGE(Data!I907), "  ")</f>
        <v>0.68695652173913047</v>
      </c>
      <c r="J905" s="42">
        <f>IFERROR(AVERAGE(Data!J907), "  ")</f>
        <v>158</v>
      </c>
      <c r="K905" s="44">
        <f>IFERROR(AVERAGE(Data!K907), "  ")</f>
        <v>4.9397590361445781E-2</v>
      </c>
      <c r="L905" s="45">
        <f>IFERROR(AVERAGE(Data!L907), "  ")</f>
        <v>806.33333333333337</v>
      </c>
    </row>
    <row r="906" spans="1:12" x14ac:dyDescent="0.2">
      <c r="A906" s="43"/>
      <c r="B906" s="42">
        <f>IFERROR(AVERAGE(Data!B908), "  ")</f>
        <v>198</v>
      </c>
      <c r="C906" s="42">
        <f>IFERROR(AVERAGE(Data!C908), "  ")</f>
        <v>13</v>
      </c>
      <c r="D906" s="42">
        <f>IFERROR(AVERAGE(Data!D908), "  ")</f>
        <v>208</v>
      </c>
      <c r="E906" s="42">
        <f>IFERROR(AVERAGE(Data!E908), "  ")</f>
        <v>419</v>
      </c>
      <c r="F906" s="42">
        <f>IFERROR(AVERAGE(Data!F908), "  ")</f>
        <v>674</v>
      </c>
      <c r="G906" s="42">
        <f>IFERROR(AVERAGE(Data!G908), "  ")</f>
        <v>255</v>
      </c>
      <c r="H906" s="44">
        <f>IFERROR(AVERAGE(Data!H908), "  ")</f>
        <v>-0.2261768082663605</v>
      </c>
      <c r="I906" s="44">
        <f>IFERROR(AVERAGE(Data!I908), "  ")</f>
        <v>7.9896907216494839E-2</v>
      </c>
      <c r="J906" s="42">
        <f>IFERROR(AVERAGE(Data!J908), "  ")</f>
        <v>31</v>
      </c>
      <c r="K906" s="44">
        <f>IFERROR(AVERAGE(Data!K908), "  ")</f>
        <v>-0.17603911980440098</v>
      </c>
      <c r="L906" s="45">
        <f>IFERROR(AVERAGE(Data!L908), "  ")</f>
        <v>833.33333333333337</v>
      </c>
    </row>
    <row r="907" spans="1:12" x14ac:dyDescent="0.2">
      <c r="A907" s="43"/>
      <c r="B907" s="42">
        <f>IFERROR(AVERAGE(Data!B909), "  ")</f>
        <v>206</v>
      </c>
      <c r="C907" s="42">
        <f>IFERROR(AVERAGE(Data!C909), "  ")</f>
        <v>8</v>
      </c>
      <c r="D907" s="42">
        <f>IFERROR(AVERAGE(Data!D909), "  ")</f>
        <v>188</v>
      </c>
      <c r="E907" s="42">
        <f>IFERROR(AVERAGE(Data!E909), "  ")</f>
        <v>402</v>
      </c>
      <c r="F907" s="42">
        <f>IFERROR(AVERAGE(Data!F909), "  ")</f>
        <v>775</v>
      </c>
      <c r="G907" s="42">
        <f>IFERROR(AVERAGE(Data!G909), "  ")</f>
        <v>373</v>
      </c>
      <c r="H907" s="44">
        <f>IFERROR(AVERAGE(Data!H909), "  ")</f>
        <v>0.14985163204747776</v>
      </c>
      <c r="I907" s="44">
        <f>IFERROR(AVERAGE(Data!I909), "  ")</f>
        <v>-4.0572792362768499E-2</v>
      </c>
      <c r="J907" s="42">
        <f>IFERROR(AVERAGE(Data!J909), "  ")</f>
        <v>-17</v>
      </c>
      <c r="K907" s="44">
        <f>IFERROR(AVERAGE(Data!K909), "  ")</f>
        <v>4.4474393530997303E-2</v>
      </c>
      <c r="L907" s="45">
        <f>IFERROR(AVERAGE(Data!L909), "  ")</f>
        <v>739.33333333333337</v>
      </c>
    </row>
    <row r="908" spans="1:12" x14ac:dyDescent="0.2">
      <c r="A908" s="43"/>
      <c r="B908" s="42">
        <f>IFERROR(AVERAGE(Data!B910), "  ")</f>
        <v>184</v>
      </c>
      <c r="C908" s="42">
        <f>IFERROR(AVERAGE(Data!C910), "  ")</f>
        <v>16</v>
      </c>
      <c r="D908" s="42">
        <f>IFERROR(AVERAGE(Data!D910), "  ")</f>
        <v>175</v>
      </c>
      <c r="E908" s="42">
        <f>IFERROR(AVERAGE(Data!E910), "  ")</f>
        <v>375</v>
      </c>
      <c r="F908" s="42">
        <f>IFERROR(AVERAGE(Data!F910), "  ")</f>
        <v>697</v>
      </c>
      <c r="G908" s="42">
        <f>IFERROR(AVERAGE(Data!G910), "  ")</f>
        <v>322</v>
      </c>
      <c r="H908" s="44">
        <f>IFERROR(AVERAGE(Data!H910), "  ")</f>
        <v>-0.10064516129032258</v>
      </c>
      <c r="I908" s="44">
        <f>IFERROR(AVERAGE(Data!I910), "  ")</f>
        <v>-6.7164179104477612E-2</v>
      </c>
      <c r="J908" s="42">
        <f>IFERROR(AVERAGE(Data!J910), "  ")</f>
        <v>-27</v>
      </c>
      <c r="K908" s="44">
        <f>IFERROR(AVERAGE(Data!K910), "  ")</f>
        <v>0.10987261146496816</v>
      </c>
      <c r="L908" s="45">
        <f>IFERROR(AVERAGE(Data!L910), "  ")</f>
        <v>761.66666666666663</v>
      </c>
    </row>
    <row r="909" spans="1:12" x14ac:dyDescent="0.2">
      <c r="A909" s="43"/>
      <c r="B909" s="42">
        <f>IFERROR(AVERAGE(Data!B911), "  ")</f>
        <v>171</v>
      </c>
      <c r="C909" s="42">
        <f>IFERROR(AVERAGE(Data!C911), "  ")</f>
        <v>13</v>
      </c>
      <c r="D909" s="42">
        <f>IFERROR(AVERAGE(Data!D911), "  ")</f>
        <v>185</v>
      </c>
      <c r="E909" s="42">
        <f>IFERROR(AVERAGE(Data!E911), "  ")</f>
        <v>369</v>
      </c>
      <c r="F909" s="42">
        <f>IFERROR(AVERAGE(Data!F911), "  ")</f>
        <v>775</v>
      </c>
      <c r="G909" s="42">
        <f>IFERROR(AVERAGE(Data!G911), "  ")</f>
        <v>406</v>
      </c>
      <c r="H909" s="44">
        <f>IFERROR(AVERAGE(Data!H911), "  ")</f>
        <v>0.11190817790530846</v>
      </c>
      <c r="I909" s="44">
        <f>IFERROR(AVERAGE(Data!I911), "  ")</f>
        <v>-1.6E-2</v>
      </c>
      <c r="J909" s="42">
        <f>IFERROR(AVERAGE(Data!J911), "  ")</f>
        <v>-6</v>
      </c>
      <c r="K909" s="44">
        <f>IFERROR(AVERAGE(Data!K911), "  ")</f>
        <v>-5.8323207776427702E-2</v>
      </c>
      <c r="L909" s="45">
        <f>IFERROR(AVERAGE(Data!L911), "  ")</f>
        <v>753</v>
      </c>
    </row>
    <row r="910" spans="1:12" x14ac:dyDescent="0.2">
      <c r="A910" s="43"/>
      <c r="B910" s="42">
        <f>IFERROR(AVERAGE(Data!B912), "  ")</f>
        <v>171</v>
      </c>
      <c r="C910" s="42">
        <f>IFERROR(AVERAGE(Data!C912), "  ")</f>
        <v>29</v>
      </c>
      <c r="D910" s="42">
        <f>IFERROR(AVERAGE(Data!D912), "  ")</f>
        <v>238</v>
      </c>
      <c r="E910" s="42">
        <f>IFERROR(AVERAGE(Data!E912), "  ")</f>
        <v>438</v>
      </c>
      <c r="F910" s="42">
        <f>IFERROR(AVERAGE(Data!F912), "  ")</f>
        <v>756</v>
      </c>
      <c r="G910" s="42">
        <f>IFERROR(AVERAGE(Data!G912), "  ")</f>
        <v>318</v>
      </c>
      <c r="H910" s="44">
        <f>IFERROR(AVERAGE(Data!H912), "  ")</f>
        <v>-2.4516129032258065E-2</v>
      </c>
      <c r="I910" s="44">
        <f>IFERROR(AVERAGE(Data!I912), "  ")</f>
        <v>0.18699186991869918</v>
      </c>
      <c r="J910" s="42">
        <f>IFERROR(AVERAGE(Data!J912), "  ")</f>
        <v>69</v>
      </c>
      <c r="K910" s="44">
        <f>IFERROR(AVERAGE(Data!K912), "  ")</f>
        <v>2.0242914979757085E-2</v>
      </c>
      <c r="L910" s="45">
        <f>IFERROR(AVERAGE(Data!L912), "  ")</f>
        <v>646.33333333333337</v>
      </c>
    </row>
    <row r="911" spans="1:12" x14ac:dyDescent="0.2">
      <c r="A911" s="43"/>
      <c r="B911" s="42">
        <f>IFERROR(AVERAGE(Data!B913), "  ")</f>
        <v>117</v>
      </c>
      <c r="C911" s="42">
        <f>IFERROR(AVERAGE(Data!C913), "  ")</f>
        <v>13</v>
      </c>
      <c r="D911" s="42">
        <f>IFERROR(AVERAGE(Data!D913), "  ")</f>
        <v>128</v>
      </c>
      <c r="E911" s="42">
        <f>IFERROR(AVERAGE(Data!E913), "  ")</f>
        <v>258</v>
      </c>
      <c r="F911" s="42">
        <f>IFERROR(AVERAGE(Data!F913), "  ")</f>
        <v>476</v>
      </c>
      <c r="G911" s="42">
        <f>IFERROR(AVERAGE(Data!G913), "  ")</f>
        <v>218</v>
      </c>
      <c r="H911" s="44">
        <f>IFERROR(AVERAGE(Data!H913), "  ")</f>
        <v>-0.37037037037037035</v>
      </c>
      <c r="I911" s="44">
        <f>IFERROR(AVERAGE(Data!I913), "  ")</f>
        <v>-0.41095890410958902</v>
      </c>
      <c r="J911" s="42">
        <f>IFERROR(AVERAGE(Data!J913), "  ")</f>
        <v>-180</v>
      </c>
      <c r="K911" s="44">
        <f>IFERROR(AVERAGE(Data!K913), "  ")</f>
        <v>-0.34972677595628415</v>
      </c>
      <c r="L911" s="45">
        <f>IFERROR(AVERAGE(Data!L913), "  ")</f>
        <v>663.33333333333337</v>
      </c>
    </row>
    <row r="912" spans="1:12" x14ac:dyDescent="0.2">
      <c r="A912" s="43"/>
      <c r="B912" s="42">
        <f>IFERROR(AVERAGE(Data!B914), "  ")</f>
        <v>88</v>
      </c>
      <c r="C912" s="42">
        <f>IFERROR(AVERAGE(Data!C914), "  ")</f>
        <v>32</v>
      </c>
      <c r="D912" s="42">
        <f>IFERROR(AVERAGE(Data!D914), "  ")</f>
        <v>142</v>
      </c>
      <c r="E912" s="42">
        <f>IFERROR(AVERAGE(Data!E914), "  ")</f>
        <v>262</v>
      </c>
      <c r="F912" s="42">
        <f>IFERROR(AVERAGE(Data!F914), "  ")</f>
        <v>775</v>
      </c>
      <c r="G912" s="42">
        <f>IFERROR(AVERAGE(Data!G914), "  ")</f>
        <v>513</v>
      </c>
      <c r="H912" s="44">
        <f>IFERROR(AVERAGE(Data!H914), "  ")</f>
        <v>0.62815126050420167</v>
      </c>
      <c r="I912" s="44">
        <f>IFERROR(AVERAGE(Data!I914), "  ")</f>
        <v>1.5503875968992248E-2</v>
      </c>
      <c r="J912" s="42">
        <f>IFERROR(AVERAGE(Data!J914), "  ")</f>
        <v>4</v>
      </c>
      <c r="K912" s="44">
        <f>IFERROR(AVERAGE(Data!K914), "  ")</f>
        <v>3.3333333333333333E-2</v>
      </c>
      <c r="L912" s="45">
        <f>IFERROR(AVERAGE(Data!L914), "  ")</f>
        <v>711</v>
      </c>
    </row>
    <row r="913" spans="1:12" x14ac:dyDescent="0.2">
      <c r="A913" s="43"/>
      <c r="B913" s="42">
        <f>IFERROR(AVERAGE(Data!B915), "  ")</f>
        <v>123</v>
      </c>
      <c r="C913" s="42">
        <f>IFERROR(AVERAGE(Data!C915), "  ")</f>
        <v>9</v>
      </c>
      <c r="D913" s="42">
        <f>IFERROR(AVERAGE(Data!D915), "  ")</f>
        <v>153</v>
      </c>
      <c r="E913" s="42">
        <f>IFERROR(AVERAGE(Data!E915), "  ")</f>
        <v>285</v>
      </c>
      <c r="F913" s="42">
        <f>IFERROR(AVERAGE(Data!F915), "  ")</f>
        <v>666</v>
      </c>
      <c r="G913" s="42">
        <f>IFERROR(AVERAGE(Data!G915), "  ")</f>
        <v>381</v>
      </c>
      <c r="H913" s="44">
        <f>IFERROR(AVERAGE(Data!H915), "  ")</f>
        <v>-0.14064516129032259</v>
      </c>
      <c r="I913" s="44">
        <f>IFERROR(AVERAGE(Data!I915), "  ")</f>
        <v>8.7786259541984726E-2</v>
      </c>
      <c r="J913" s="42">
        <f>IFERROR(AVERAGE(Data!J915), "  ")</f>
        <v>23</v>
      </c>
      <c r="K913" s="44">
        <f>IFERROR(AVERAGE(Data!K915), "  ")</f>
        <v>-2.3460410557184751E-2</v>
      </c>
      <c r="L913" s="45">
        <f>IFERROR(AVERAGE(Data!L915), "  ")</f>
        <v>698.33333333333337</v>
      </c>
    </row>
    <row r="914" spans="1:12" x14ac:dyDescent="0.2">
      <c r="A914" s="43"/>
      <c r="B914" s="42">
        <f>IFERROR(AVERAGE(Data!B916), "  ")</f>
        <v>256</v>
      </c>
      <c r="C914" s="42">
        <f>IFERROR(AVERAGE(Data!C916), "  ")</f>
        <v>21</v>
      </c>
      <c r="D914" s="42">
        <f>IFERROR(AVERAGE(Data!D916), "  ")</f>
        <v>115</v>
      </c>
      <c r="E914" s="42">
        <f>IFERROR(AVERAGE(Data!E916), "  ")</f>
        <v>392</v>
      </c>
      <c r="F914" s="42">
        <f>IFERROR(AVERAGE(Data!F916), "  ")</f>
        <v>699</v>
      </c>
      <c r="G914" s="42">
        <f>IFERROR(AVERAGE(Data!G916), "  ")</f>
        <v>307</v>
      </c>
      <c r="H914" s="44">
        <f>IFERROR(AVERAGE(Data!H916), "  ")</f>
        <v>4.954954954954955E-2</v>
      </c>
      <c r="I914" s="44">
        <f>IFERROR(AVERAGE(Data!I916), "  ")</f>
        <v>0.37543859649122807</v>
      </c>
      <c r="J914" s="42">
        <f>IFERROR(AVERAGE(Data!J916), "  ")</f>
        <v>107</v>
      </c>
      <c r="K914" s="44">
        <f>IFERROR(AVERAGE(Data!K916), "  ")</f>
        <v>9.3896713615023469E-2</v>
      </c>
      <c r="L914" s="45">
        <f>IFERROR(AVERAGE(Data!L916), "  ")</f>
        <v>655.66666666666663</v>
      </c>
    </row>
    <row r="915" spans="1:12" x14ac:dyDescent="0.2">
      <c r="A915" s="43"/>
      <c r="B915" s="42">
        <f>IFERROR(AVERAGE(Data!B917), "  ")</f>
        <v>238</v>
      </c>
      <c r="C915" s="42">
        <f>IFERROR(AVERAGE(Data!C917), "  ")</f>
        <v>15</v>
      </c>
      <c r="D915" s="42">
        <f>IFERROR(AVERAGE(Data!D917), "  ")</f>
        <v>153</v>
      </c>
      <c r="E915" s="42">
        <f>IFERROR(AVERAGE(Data!E917), "  ")</f>
        <v>406</v>
      </c>
      <c r="F915" s="42">
        <f>IFERROR(AVERAGE(Data!F917), "  ")</f>
        <v>656</v>
      </c>
      <c r="G915" s="42">
        <f>IFERROR(AVERAGE(Data!G917), "  ")</f>
        <v>250</v>
      </c>
      <c r="H915" s="44">
        <f>IFERROR(AVERAGE(Data!H917), "  ")</f>
        <v>-6.1516452074391992E-2</v>
      </c>
      <c r="I915" s="44">
        <f>IFERROR(AVERAGE(Data!I917), "  ")</f>
        <v>3.5714285714285712E-2</v>
      </c>
      <c r="J915" s="42">
        <f>IFERROR(AVERAGE(Data!J917), "  ")</f>
        <v>14</v>
      </c>
      <c r="K915" s="44">
        <f>IFERROR(AVERAGE(Data!K917), "  ")</f>
        <v>-0.12881806108897742</v>
      </c>
      <c r="L915" s="45">
        <f>IFERROR(AVERAGE(Data!L917), "  ")</f>
        <v>655</v>
      </c>
    </row>
    <row r="916" spans="1:12" x14ac:dyDescent="0.2">
      <c r="A916" s="43"/>
      <c r="B916" s="42">
        <f>IFERROR(AVERAGE(Data!B918), "  ")</f>
        <v>259</v>
      </c>
      <c r="C916" s="42">
        <f>IFERROR(AVERAGE(Data!C918), "  ")</f>
        <v>9</v>
      </c>
      <c r="D916" s="42">
        <f>IFERROR(AVERAGE(Data!D918), "  ")</f>
        <v>186</v>
      </c>
      <c r="E916" s="42">
        <f>IFERROR(AVERAGE(Data!E918), "  ")</f>
        <v>454</v>
      </c>
      <c r="F916" s="42">
        <f>IFERROR(AVERAGE(Data!F918), "  ")</f>
        <v>702</v>
      </c>
      <c r="G916" s="42">
        <f>IFERROR(AVERAGE(Data!G918), "  ")</f>
        <v>248</v>
      </c>
      <c r="H916" s="44">
        <f>IFERROR(AVERAGE(Data!H918), "  ")</f>
        <v>7.0121951219512202E-2</v>
      </c>
      <c r="I916" s="44">
        <f>IFERROR(AVERAGE(Data!I918), "  ")</f>
        <v>0.11822660098522167</v>
      </c>
      <c r="J916" s="42">
        <f>IFERROR(AVERAGE(Data!J918), "  ")</f>
        <v>48</v>
      </c>
      <c r="K916" s="44">
        <f>IFERROR(AVERAGE(Data!K918), "  ")</f>
        <v>-1.2658227848101266E-2</v>
      </c>
      <c r="L916" s="45">
        <f>IFERROR(AVERAGE(Data!L918), "  ")</f>
        <v>681.33333333333337</v>
      </c>
    </row>
    <row r="917" spans="1:12" x14ac:dyDescent="0.2">
      <c r="A917" s="43"/>
      <c r="B917" s="42">
        <f>IFERROR(AVERAGE(Data!B919), "  ")</f>
        <v>282</v>
      </c>
      <c r="C917" s="42">
        <f>IFERROR(AVERAGE(Data!C919), "  ")</f>
        <v>26</v>
      </c>
      <c r="D917" s="42">
        <f>IFERROR(AVERAGE(Data!D919), "  ")</f>
        <v>135</v>
      </c>
      <c r="E917" s="42">
        <f>IFERROR(AVERAGE(Data!E919), "  ")</f>
        <v>443</v>
      </c>
      <c r="F917" s="42">
        <f>IFERROR(AVERAGE(Data!F919), "  ")</f>
        <v>593</v>
      </c>
      <c r="G917" s="42">
        <f>IFERROR(AVERAGE(Data!G919), "  ")</f>
        <v>150</v>
      </c>
      <c r="H917" s="44">
        <f>IFERROR(AVERAGE(Data!H919), "  ")</f>
        <v>-0.15527065527065528</v>
      </c>
      <c r="I917" s="44">
        <f>IFERROR(AVERAGE(Data!I919), "  ")</f>
        <v>-2.4229074889867842E-2</v>
      </c>
      <c r="J917" s="42">
        <f>IFERROR(AVERAGE(Data!J919), "  ")</f>
        <v>-11</v>
      </c>
      <c r="K917" s="44">
        <f>IFERROR(AVERAGE(Data!K919), "  ")</f>
        <v>-0.29572446555819476</v>
      </c>
      <c r="L917" s="45">
        <f>IFERROR(AVERAGE(Data!L919), "  ")</f>
        <v>678.33333333333337</v>
      </c>
    </row>
    <row r="918" spans="1:12" x14ac:dyDescent="0.2">
      <c r="A918" s="43"/>
      <c r="B918" s="42">
        <f>IFERROR(AVERAGE(Data!B920), "  ")</f>
        <v>293</v>
      </c>
      <c r="C918" s="42">
        <f>IFERROR(AVERAGE(Data!C920), "  ")</f>
        <v>6</v>
      </c>
      <c r="D918" s="42">
        <f>IFERROR(AVERAGE(Data!D920), "  ")</f>
        <v>171</v>
      </c>
      <c r="E918" s="42">
        <f>IFERROR(AVERAGE(Data!E920), "  ")</f>
        <v>470</v>
      </c>
      <c r="F918" s="42">
        <f>IFERROR(AVERAGE(Data!F920), "  ")</f>
        <v>697</v>
      </c>
      <c r="G918" s="42">
        <f>IFERROR(AVERAGE(Data!G920), "  ")</f>
        <v>227</v>
      </c>
      <c r="H918" s="44">
        <f>IFERROR(AVERAGE(Data!H920), "  ")</f>
        <v>0.17537942664418213</v>
      </c>
      <c r="I918" s="44">
        <f>IFERROR(AVERAGE(Data!I920), "  ")</f>
        <v>6.0948081264108354E-2</v>
      </c>
      <c r="J918" s="42">
        <f>IFERROR(AVERAGE(Data!J920), "  ")</f>
        <v>27</v>
      </c>
      <c r="K918" s="44">
        <f>IFERROR(AVERAGE(Data!K920), "  ")</f>
        <v>-6.6934404283801874E-2</v>
      </c>
      <c r="L918" s="45">
        <f>IFERROR(AVERAGE(Data!L920), "  ")</f>
        <v>633.66666666666663</v>
      </c>
    </row>
    <row r="919" spans="1:12" x14ac:dyDescent="0.2">
      <c r="A919" s="43"/>
      <c r="B919" s="42">
        <f>IFERROR(AVERAGE(Data!B921), "  ")</f>
        <v>321</v>
      </c>
      <c r="C919" s="42">
        <f>IFERROR(AVERAGE(Data!C921), "  ")</f>
        <v>19</v>
      </c>
      <c r="D919" s="42">
        <f>IFERROR(AVERAGE(Data!D921), "  ")</f>
        <v>73</v>
      </c>
      <c r="E919" s="42">
        <f>IFERROR(AVERAGE(Data!E921), "  ")</f>
        <v>413</v>
      </c>
      <c r="F919" s="42">
        <f>IFERROR(AVERAGE(Data!F921), "  ")</f>
        <v>637</v>
      </c>
      <c r="G919" s="42">
        <f>IFERROR(AVERAGE(Data!G921), "  ")</f>
        <v>224</v>
      </c>
      <c r="H919" s="44">
        <f>IFERROR(AVERAGE(Data!H921), "  ")</f>
        <v>-8.608321377331421E-2</v>
      </c>
      <c r="I919" s="44">
        <f>IFERROR(AVERAGE(Data!I921), "  ")</f>
        <v>-0.12127659574468085</v>
      </c>
      <c r="J919" s="42">
        <f>IFERROR(AVERAGE(Data!J921), "  ")</f>
        <v>-57</v>
      </c>
      <c r="K919" s="44">
        <f>IFERROR(AVERAGE(Data!K921), "  ")</f>
        <v>-0.13096862210095497</v>
      </c>
      <c r="L919" s="45">
        <f>IFERROR(AVERAGE(Data!L921), "  ")</f>
        <v>691.66666666666663</v>
      </c>
    </row>
    <row r="920" spans="1:12" x14ac:dyDescent="0.2">
      <c r="A920" s="43"/>
      <c r="B920" s="42">
        <f>IFERROR(AVERAGE(Data!B922), "  ")</f>
        <v>264</v>
      </c>
      <c r="C920" s="42">
        <f>IFERROR(AVERAGE(Data!C922), "  ")</f>
        <v>11</v>
      </c>
      <c r="D920" s="42">
        <f>IFERROR(AVERAGE(Data!D922), "  ")</f>
        <v>113</v>
      </c>
      <c r="E920" s="42">
        <f>IFERROR(AVERAGE(Data!E922), "  ")</f>
        <v>388</v>
      </c>
      <c r="F920" s="42">
        <f>IFERROR(AVERAGE(Data!F922), "  ")</f>
        <v>622</v>
      </c>
      <c r="G920" s="42">
        <f>IFERROR(AVERAGE(Data!G922), "  ")</f>
        <v>234</v>
      </c>
      <c r="H920" s="44">
        <f>IFERROR(AVERAGE(Data!H922), "  ")</f>
        <v>-2.3547880690737835E-2</v>
      </c>
      <c r="I920" s="44">
        <f>IFERROR(AVERAGE(Data!I922), "  ")</f>
        <v>-6.0532687651331719E-2</v>
      </c>
      <c r="J920" s="42">
        <f>IFERROR(AVERAGE(Data!J922), "  ")</f>
        <v>-25</v>
      </c>
      <c r="K920" s="44">
        <f>IFERROR(AVERAGE(Data!K922), "  ")</f>
        <v>-8.5294117647058826E-2</v>
      </c>
      <c r="L920" s="45">
        <f>IFERROR(AVERAGE(Data!L922), "  ")</f>
        <v>698</v>
      </c>
    </row>
    <row r="921" spans="1:12" x14ac:dyDescent="0.2">
      <c r="A921" s="43"/>
      <c r="B921" s="42">
        <f>IFERROR(AVERAGE(Data!B923), "  ")</f>
        <v>153</v>
      </c>
      <c r="C921" s="42">
        <f>IFERROR(AVERAGE(Data!C923), "  ")</f>
        <v>17</v>
      </c>
      <c r="D921" s="42">
        <f>IFERROR(AVERAGE(Data!D923), "  ")</f>
        <v>117</v>
      </c>
      <c r="E921" s="42">
        <f>IFERROR(AVERAGE(Data!E923), "  ")</f>
        <v>287</v>
      </c>
      <c r="F921" s="42">
        <f>IFERROR(AVERAGE(Data!F923), "  ")</f>
        <v>392</v>
      </c>
      <c r="G921" s="42">
        <f>IFERROR(AVERAGE(Data!G923), "  ")</f>
        <v>105</v>
      </c>
      <c r="H921" s="44">
        <f>IFERROR(AVERAGE(Data!H923), "  ")</f>
        <v>-0.36977491961414793</v>
      </c>
      <c r="I921" s="44">
        <f>IFERROR(AVERAGE(Data!I923), "  ")</f>
        <v>-0.26030927835051548</v>
      </c>
      <c r="J921" s="42">
        <f>IFERROR(AVERAGE(Data!J923), "  ")</f>
        <v>-101</v>
      </c>
      <c r="K921" s="44">
        <f>IFERROR(AVERAGE(Data!K923), "  ")</f>
        <v>-0.34006734006734007</v>
      </c>
      <c r="L921" s="45">
        <f>IFERROR(AVERAGE(Data!L923), "  ")</f>
        <v>666.33333333333337</v>
      </c>
    </row>
    <row r="922" spans="1:12" x14ac:dyDescent="0.2">
      <c r="A922" s="43"/>
      <c r="B922" s="42">
        <f>IFERROR(AVERAGE(Data!B924), "  ")</f>
        <v>112</v>
      </c>
      <c r="C922" s="42">
        <f>IFERROR(AVERAGE(Data!C924), "  ")</f>
        <v>17</v>
      </c>
      <c r="D922" s="42">
        <f>IFERROR(AVERAGE(Data!D924), "  ")</f>
        <v>58</v>
      </c>
      <c r="E922" s="42">
        <f>IFERROR(AVERAGE(Data!E924), "  ")</f>
        <v>187</v>
      </c>
      <c r="F922" s="42">
        <f>IFERROR(AVERAGE(Data!F924), "  ")</f>
        <v>527</v>
      </c>
      <c r="G922" s="42">
        <f>IFERROR(AVERAGE(Data!G924), "  ")</f>
        <v>340</v>
      </c>
      <c r="H922" s="44">
        <f>IFERROR(AVERAGE(Data!H924), "  ")</f>
        <v>0.34438775510204084</v>
      </c>
      <c r="I922" s="44">
        <f>IFERROR(AVERAGE(Data!I924), "  ")</f>
        <v>-0.34843205574912894</v>
      </c>
      <c r="J922" s="42">
        <f>IFERROR(AVERAGE(Data!J924), "  ")</f>
        <v>-100</v>
      </c>
      <c r="K922" s="44">
        <f>IFERROR(AVERAGE(Data!K924), "  ")</f>
        <v>-0.22840409956076135</v>
      </c>
      <c r="L922" s="45">
        <f>IFERROR(AVERAGE(Data!L924), "  ")</f>
        <v>667.33333333333337</v>
      </c>
    </row>
    <row r="923" spans="1:12" x14ac:dyDescent="0.2">
      <c r="A923" s="43"/>
      <c r="B923" s="42">
        <f>IFERROR(AVERAGE(Data!B925), "  ")</f>
        <v>189</v>
      </c>
      <c r="C923" s="42">
        <f>IFERROR(AVERAGE(Data!C925), "  ")</f>
        <v>10</v>
      </c>
      <c r="D923" s="42">
        <f>IFERROR(AVERAGE(Data!D925), "  ")</f>
        <v>122</v>
      </c>
      <c r="E923" s="42">
        <f>IFERROR(AVERAGE(Data!E925), "  ")</f>
        <v>321</v>
      </c>
      <c r="F923" s="42">
        <f>IFERROR(AVERAGE(Data!F925), "  ")</f>
        <v>569</v>
      </c>
      <c r="G923" s="42">
        <f>IFERROR(AVERAGE(Data!G925), "  ")</f>
        <v>248</v>
      </c>
      <c r="H923" s="44">
        <f>IFERROR(AVERAGE(Data!H925), "  ")</f>
        <v>7.9696394686907021E-2</v>
      </c>
      <c r="I923" s="44">
        <f>IFERROR(AVERAGE(Data!I925), "  ")</f>
        <v>0.71657754010695185</v>
      </c>
      <c r="J923" s="42">
        <f>IFERROR(AVERAGE(Data!J925), "  ")</f>
        <v>134</v>
      </c>
      <c r="K923" s="44">
        <f>IFERROR(AVERAGE(Data!K925), "  ")</f>
        <v>-0.26485788113695091</v>
      </c>
      <c r="L923" s="45">
        <f>IFERROR(AVERAGE(Data!L925), "  ")</f>
        <v>711.33333333333337</v>
      </c>
    </row>
    <row r="924" spans="1:12" x14ac:dyDescent="0.2">
      <c r="A924" s="43"/>
      <c r="B924" s="42">
        <f>IFERROR(AVERAGE(Data!B926), "  ")</f>
        <v>430</v>
      </c>
      <c r="C924" s="42">
        <f>IFERROR(AVERAGE(Data!C926), "  ")</f>
        <v>11</v>
      </c>
      <c r="D924" s="42">
        <f>IFERROR(AVERAGE(Data!D926), "  ")</f>
        <v>75</v>
      </c>
      <c r="E924" s="42">
        <f>IFERROR(AVERAGE(Data!E926), "  ")</f>
        <v>516</v>
      </c>
      <c r="F924" s="42">
        <f>IFERROR(AVERAGE(Data!F926), "  ")</f>
        <v>601</v>
      </c>
      <c r="G924" s="42">
        <f>IFERROR(AVERAGE(Data!G926), "  ")</f>
        <v>85</v>
      </c>
      <c r="H924" s="44">
        <f>IFERROR(AVERAGE(Data!H926), "  ")</f>
        <v>5.6239015817223195E-2</v>
      </c>
      <c r="I924" s="44">
        <f>IFERROR(AVERAGE(Data!I926), "  ")</f>
        <v>0.60747663551401865</v>
      </c>
      <c r="J924" s="42">
        <f>IFERROR(AVERAGE(Data!J926), "  ")</f>
        <v>195</v>
      </c>
      <c r="K924" s="44">
        <f>IFERROR(AVERAGE(Data!K926), "  ")</f>
        <v>0.26526315789473687</v>
      </c>
      <c r="L924" s="45">
        <f>IFERROR(AVERAGE(Data!L926), "  ")</f>
        <v>622.33333333333337</v>
      </c>
    </row>
    <row r="925" spans="1:12" x14ac:dyDescent="0.2">
      <c r="A925" s="43"/>
      <c r="B925" s="42">
        <f>IFERROR(AVERAGE(Data!B927), "  ")</f>
        <v>291</v>
      </c>
      <c r="C925" s="42">
        <f>IFERROR(AVERAGE(Data!C927), "  ")</f>
        <v>5</v>
      </c>
      <c r="D925" s="42">
        <f>IFERROR(AVERAGE(Data!D927), "  ")</f>
        <v>35</v>
      </c>
      <c r="E925" s="42">
        <f>IFERROR(AVERAGE(Data!E927), "  ")</f>
        <v>331</v>
      </c>
      <c r="F925" s="42">
        <f>IFERROR(AVERAGE(Data!F927), "  ")</f>
        <v>493</v>
      </c>
      <c r="G925" s="42">
        <f>IFERROR(AVERAGE(Data!G927), "  ")</f>
        <v>162</v>
      </c>
      <c r="H925" s="44">
        <f>IFERROR(AVERAGE(Data!H927), "  ")</f>
        <v>-0.17970049916805325</v>
      </c>
      <c r="I925" s="44">
        <f>IFERROR(AVERAGE(Data!I927), "  ")</f>
        <v>-0.35852713178294576</v>
      </c>
      <c r="J925" s="42">
        <f>IFERROR(AVERAGE(Data!J927), "  ")</f>
        <v>-185</v>
      </c>
      <c r="K925" s="44">
        <f>IFERROR(AVERAGE(Data!K927), "  ")</f>
        <v>-0.12433392539964476</v>
      </c>
      <c r="L925" s="45">
        <f>IFERROR(AVERAGE(Data!L927), "  ")</f>
        <v>611</v>
      </c>
    </row>
    <row r="926" spans="1:12" x14ac:dyDescent="0.2">
      <c r="A926" s="43"/>
      <c r="B926" s="42">
        <f>IFERROR(AVERAGE(Data!B928), "  ")</f>
        <v>225</v>
      </c>
      <c r="C926" s="42">
        <f>IFERROR(AVERAGE(Data!C928), "  ")</f>
        <v>3</v>
      </c>
      <c r="D926" s="42">
        <f>IFERROR(AVERAGE(Data!D928), "  ")</f>
        <v>37</v>
      </c>
      <c r="E926" s="42">
        <f>IFERROR(AVERAGE(Data!E928), "  ")</f>
        <v>265</v>
      </c>
      <c r="F926" s="42">
        <f>IFERROR(AVERAGE(Data!F928), "  ")</f>
        <v>506</v>
      </c>
      <c r="G926" s="42">
        <f>IFERROR(AVERAGE(Data!G928), "  ")</f>
        <v>241</v>
      </c>
      <c r="H926" s="44">
        <f>IFERROR(AVERAGE(Data!H928), "  ")</f>
        <v>2.6369168356997971E-2</v>
      </c>
      <c r="I926" s="44">
        <f>IFERROR(AVERAGE(Data!I928), "  ")</f>
        <v>-0.19939577039274925</v>
      </c>
      <c r="J926" s="42">
        <f>IFERROR(AVERAGE(Data!J928), "  ")</f>
        <v>-66</v>
      </c>
      <c r="K926" s="44">
        <f>IFERROR(AVERAGE(Data!K928), "  ")</f>
        <v>-0.28125</v>
      </c>
      <c r="L926" s="45">
        <f>IFERROR(AVERAGE(Data!L928), "  ")</f>
        <v>644.66666666666663</v>
      </c>
    </row>
    <row r="927" spans="1:12" x14ac:dyDescent="0.2">
      <c r="A927" s="43"/>
      <c r="B927" s="42">
        <f>IFERROR(AVERAGE(Data!B929), "  ")</f>
        <v>253</v>
      </c>
      <c r="C927" s="42">
        <f>IFERROR(AVERAGE(Data!C929), "  ")</f>
        <v>12</v>
      </c>
      <c r="D927" s="42">
        <f>IFERROR(AVERAGE(Data!D929), "  ")</f>
        <v>40</v>
      </c>
      <c r="E927" s="42">
        <f>IFERROR(AVERAGE(Data!E929), "  ")</f>
        <v>305</v>
      </c>
      <c r="F927" s="42">
        <f>IFERROR(AVERAGE(Data!F929), "  ")</f>
        <v>457</v>
      </c>
      <c r="G927" s="42">
        <f>IFERROR(AVERAGE(Data!G929), "  ")</f>
        <v>152</v>
      </c>
      <c r="H927" s="44">
        <f>IFERROR(AVERAGE(Data!H929), "  ")</f>
        <v>-9.6837944664031617E-2</v>
      </c>
      <c r="I927" s="44">
        <f>IFERROR(AVERAGE(Data!I929), "  ")</f>
        <v>0.15094339622641509</v>
      </c>
      <c r="J927" s="42">
        <f>IFERROR(AVERAGE(Data!J929), "  ")</f>
        <v>40</v>
      </c>
      <c r="K927" s="44">
        <f>IFERROR(AVERAGE(Data!K929), "  ")</f>
        <v>-7.4898785425101214E-2</v>
      </c>
      <c r="L927" s="45">
        <f>IFERROR(AVERAGE(Data!L929), "  ")</f>
        <v>592</v>
      </c>
    </row>
    <row r="928" spans="1:12" x14ac:dyDescent="0.2">
      <c r="A928" s="43"/>
      <c r="B928" s="42">
        <f>IFERROR(AVERAGE(Data!B930), "  ")</f>
        <v>203</v>
      </c>
      <c r="C928" s="42">
        <f>IFERROR(AVERAGE(Data!C930), "  ")</f>
        <v>12</v>
      </c>
      <c r="D928" s="42">
        <f>IFERROR(AVERAGE(Data!D930), "  ")</f>
        <v>45</v>
      </c>
      <c r="E928" s="42">
        <f>IFERROR(AVERAGE(Data!E930), "  ")</f>
        <v>260</v>
      </c>
      <c r="F928" s="42">
        <f>IFERROR(AVERAGE(Data!F930), "  ")</f>
        <v>309</v>
      </c>
      <c r="G928" s="42">
        <f>IFERROR(AVERAGE(Data!G930), "  ")</f>
        <v>49</v>
      </c>
      <c r="H928" s="44">
        <f>IFERROR(AVERAGE(Data!H930), "  ")</f>
        <v>-0.32385120350109409</v>
      </c>
      <c r="I928" s="44">
        <f>IFERROR(AVERAGE(Data!I930), "  ")</f>
        <v>-0.14754098360655737</v>
      </c>
      <c r="J928" s="42">
        <f>IFERROR(AVERAGE(Data!J930), "  ")</f>
        <v>-45</v>
      </c>
      <c r="K928" s="44">
        <f>IFERROR(AVERAGE(Data!K930), "  ")</f>
        <v>-0.33261339092872572</v>
      </c>
      <c r="L928" s="45">
        <f>IFERROR(AVERAGE(Data!L930), "  ")</f>
        <v>505.33333333333331</v>
      </c>
    </row>
    <row r="929" spans="1:12" x14ac:dyDescent="0.2">
      <c r="A929" s="43"/>
      <c r="B929" s="42">
        <f>IFERROR(AVERAGE(Data!B931), "  ")</f>
        <v>192</v>
      </c>
      <c r="C929" s="42">
        <f>IFERROR(AVERAGE(Data!C931), "  ")</f>
        <v>18</v>
      </c>
      <c r="D929" s="42">
        <f>IFERROR(AVERAGE(Data!D931), "  ")</f>
        <v>56</v>
      </c>
      <c r="E929" s="42">
        <f>IFERROR(AVERAGE(Data!E931), "  ")</f>
        <v>266</v>
      </c>
      <c r="F929" s="42">
        <f>IFERROR(AVERAGE(Data!F931), "  ")</f>
        <v>432</v>
      </c>
      <c r="G929" s="42">
        <f>IFERROR(AVERAGE(Data!G931), "  ")</f>
        <v>166</v>
      </c>
      <c r="H929" s="44">
        <f>IFERROR(AVERAGE(Data!H931), "  ")</f>
        <v>0.39805825242718446</v>
      </c>
      <c r="I929" s="44">
        <f>IFERROR(AVERAGE(Data!I931), "  ")</f>
        <v>2.3076923076923078E-2</v>
      </c>
      <c r="J929" s="42">
        <f>IFERROR(AVERAGE(Data!J931), "  ")</f>
        <v>6</v>
      </c>
      <c r="K929" s="44">
        <f>IFERROR(AVERAGE(Data!K931), "  ")</f>
        <v>8.8161209068010074E-2</v>
      </c>
      <c r="L929" s="45">
        <f>IFERROR(AVERAGE(Data!L931), "  ")</f>
        <v>530.33333333333337</v>
      </c>
    </row>
    <row r="930" spans="1:12" x14ac:dyDescent="0.2">
      <c r="A930" s="43"/>
      <c r="B930" s="42">
        <f>IFERROR(AVERAGE(Data!B932), "  ")</f>
        <v>236</v>
      </c>
      <c r="C930" s="42">
        <f>IFERROR(AVERAGE(Data!C932), "  ")</f>
        <v>20</v>
      </c>
      <c r="D930" s="42">
        <f>IFERROR(AVERAGE(Data!D932), "  ")</f>
        <v>84</v>
      </c>
      <c r="E930" s="42">
        <f>IFERROR(AVERAGE(Data!E932), "  ")</f>
        <v>340</v>
      </c>
      <c r="F930" s="42">
        <f>IFERROR(AVERAGE(Data!F932), "  ")</f>
        <v>376</v>
      </c>
      <c r="G930" s="42">
        <f>IFERROR(AVERAGE(Data!G932), "  ")</f>
        <v>36</v>
      </c>
      <c r="H930" s="44">
        <f>IFERROR(AVERAGE(Data!H932), "  ")</f>
        <v>-0.12962962962962962</v>
      </c>
      <c r="I930" s="44">
        <f>IFERROR(AVERAGE(Data!I932), "  ")</f>
        <v>0.2781954887218045</v>
      </c>
      <c r="J930" s="42">
        <f>IFERROR(AVERAGE(Data!J932), "  ")</f>
        <v>74</v>
      </c>
      <c r="K930" s="44">
        <f>IFERROR(AVERAGE(Data!K932), "  ")</f>
        <v>-0.35616438356164382</v>
      </c>
      <c r="L930" s="45">
        <f>IFERROR(AVERAGE(Data!L932), "  ")</f>
        <v>595.66666666666663</v>
      </c>
    </row>
    <row r="931" spans="1:12" x14ac:dyDescent="0.2">
      <c r="A931" s="43"/>
      <c r="B931" s="42">
        <f>IFERROR(AVERAGE(Data!B933), "  ")</f>
        <v>178</v>
      </c>
      <c r="C931" s="42">
        <f>IFERROR(AVERAGE(Data!C933), "  ")</f>
        <v>16</v>
      </c>
      <c r="D931" s="42">
        <f>IFERROR(AVERAGE(Data!D933), "  ")</f>
        <v>73</v>
      </c>
      <c r="E931" s="42">
        <f>IFERROR(AVERAGE(Data!E933), "  ")</f>
        <v>267</v>
      </c>
      <c r="F931" s="42">
        <f>IFERROR(AVERAGE(Data!F933), "  ")</f>
        <v>343</v>
      </c>
      <c r="G931" s="42">
        <f>IFERROR(AVERAGE(Data!G933), "  ")</f>
        <v>76</v>
      </c>
      <c r="H931" s="44">
        <f>IFERROR(AVERAGE(Data!H933), "  ")</f>
        <v>-8.7765957446808512E-2</v>
      </c>
      <c r="I931" s="44">
        <f>IFERROR(AVERAGE(Data!I933), "  ")</f>
        <v>-0.21470588235294116</v>
      </c>
      <c r="J931" s="42">
        <f>IFERROR(AVERAGE(Data!J933), "  ")</f>
        <v>-73</v>
      </c>
      <c r="K931" s="44">
        <f>IFERROR(AVERAGE(Data!K933), "  ")</f>
        <v>-0.42060810810810811</v>
      </c>
      <c r="L931" s="45">
        <f>IFERROR(AVERAGE(Data!L933), "  ")</f>
        <v>573.66666666666663</v>
      </c>
    </row>
    <row r="932" spans="1:12" x14ac:dyDescent="0.2">
      <c r="A932" s="43"/>
      <c r="B932" s="42">
        <f>IFERROR(AVERAGE(Data!B934), "  ")</f>
        <v>191</v>
      </c>
      <c r="C932" s="42">
        <f>IFERROR(AVERAGE(Data!C934), "  ")</f>
        <v>12</v>
      </c>
      <c r="D932" s="42">
        <f>IFERROR(AVERAGE(Data!D934), "  ")</f>
        <v>65</v>
      </c>
      <c r="E932" s="42">
        <f>IFERROR(AVERAGE(Data!E934), "  ")</f>
        <v>268</v>
      </c>
      <c r="F932" s="42">
        <f>IFERROR(AVERAGE(Data!F934), "  ")</f>
        <v>470</v>
      </c>
      <c r="G932" s="42">
        <f>IFERROR(AVERAGE(Data!G934), "  ")</f>
        <v>202</v>
      </c>
      <c r="H932" s="44">
        <f>IFERROR(AVERAGE(Data!H934), "  ")</f>
        <v>0.37026239067055394</v>
      </c>
      <c r="I932" s="44">
        <f>IFERROR(AVERAGE(Data!I934), "  ")</f>
        <v>3.7453183520599251E-3</v>
      </c>
      <c r="J932" s="42">
        <f>IFERROR(AVERAGE(Data!J934), "  ")</f>
        <v>1</v>
      </c>
      <c r="K932" s="44">
        <f>IFERROR(AVERAGE(Data!K934), "  ")</f>
        <v>-7.8431372549019607E-2</v>
      </c>
      <c r="L932" s="45">
        <f>IFERROR(AVERAGE(Data!L934), "  ")</f>
        <v>582</v>
      </c>
    </row>
    <row r="933" spans="1:12" x14ac:dyDescent="0.2">
      <c r="A933" s="43"/>
      <c r="B933" s="42">
        <f>IFERROR(AVERAGE(Data!B935), "  ")</f>
        <v>203</v>
      </c>
      <c r="C933" s="42">
        <f>IFERROR(AVERAGE(Data!C935), "  ")</f>
        <v>19</v>
      </c>
      <c r="D933" s="42">
        <f>IFERROR(AVERAGE(Data!D935), "  ")</f>
        <v>58</v>
      </c>
      <c r="E933" s="42">
        <f>IFERROR(AVERAGE(Data!E935), "  ")</f>
        <v>280</v>
      </c>
      <c r="F933" s="42">
        <f>IFERROR(AVERAGE(Data!F935), "  ")</f>
        <v>448</v>
      </c>
      <c r="G933" s="42">
        <f>IFERROR(AVERAGE(Data!G935), "  ")</f>
        <v>168</v>
      </c>
      <c r="H933" s="44">
        <f>IFERROR(AVERAGE(Data!H935), "  ")</f>
        <v>-4.6808510638297871E-2</v>
      </c>
      <c r="I933" s="44">
        <f>IFERROR(AVERAGE(Data!I935), "  ")</f>
        <v>4.4776119402985072E-2</v>
      </c>
      <c r="J933" s="42">
        <f>IFERROR(AVERAGE(Data!J935), "  ")</f>
        <v>12</v>
      </c>
      <c r="K933" s="44">
        <f>IFERROR(AVERAGE(Data!K935), "  ")</f>
        <v>-0.40266666666666667</v>
      </c>
      <c r="L933" s="45">
        <f>IFERROR(AVERAGE(Data!L935), "  ")</f>
        <v>672</v>
      </c>
    </row>
    <row r="934" spans="1:12" x14ac:dyDescent="0.2">
      <c r="A934" s="43"/>
      <c r="B934" s="42">
        <f>IFERROR(AVERAGE(Data!B936), "  ")</f>
        <v>147</v>
      </c>
      <c r="C934" s="42">
        <f>IFERROR(AVERAGE(Data!C936), "  ")</f>
        <v>22</v>
      </c>
      <c r="D934" s="42">
        <f>IFERROR(AVERAGE(Data!D936), "  ")</f>
        <v>36</v>
      </c>
      <c r="E934" s="42">
        <f>IFERROR(AVERAGE(Data!E936), "  ")</f>
        <v>205</v>
      </c>
      <c r="F934" s="42">
        <f>IFERROR(AVERAGE(Data!F936), "  ")</f>
        <v>497</v>
      </c>
      <c r="G934" s="42">
        <f>IFERROR(AVERAGE(Data!G936), "  ")</f>
        <v>292</v>
      </c>
      <c r="H934" s="44">
        <f>IFERROR(AVERAGE(Data!H936), "  ")</f>
        <v>0.109375</v>
      </c>
      <c r="I934" s="44">
        <f>IFERROR(AVERAGE(Data!I936), "  ")</f>
        <v>-0.26785714285714285</v>
      </c>
      <c r="J934" s="42">
        <f>IFERROR(AVERAGE(Data!J936), "  ")</f>
        <v>-75</v>
      </c>
      <c r="K934" s="44">
        <f>IFERROR(AVERAGE(Data!K936), "  ")</f>
        <v>-0.27019089574155652</v>
      </c>
      <c r="L934" s="45">
        <f>IFERROR(AVERAGE(Data!L936), "  ")</f>
        <v>686</v>
      </c>
    </row>
    <row r="935" spans="1:12" x14ac:dyDescent="0.2">
      <c r="A935" s="43"/>
      <c r="B935" s="42">
        <f>IFERROR(AVERAGE(Data!B937), "  ")</f>
        <v>149</v>
      </c>
      <c r="C935" s="42">
        <f>IFERROR(AVERAGE(Data!C937), "  ")</f>
        <v>13</v>
      </c>
      <c r="D935" s="42">
        <f>IFERROR(AVERAGE(Data!D937), "  ")</f>
        <v>71</v>
      </c>
      <c r="E935" s="42">
        <f>IFERROR(AVERAGE(Data!E937), "  ")</f>
        <v>233</v>
      </c>
      <c r="F935" s="42">
        <f>IFERROR(AVERAGE(Data!F937), "  ")</f>
        <v>427</v>
      </c>
      <c r="G935" s="42">
        <f>IFERROR(AVERAGE(Data!G937), "  ")</f>
        <v>194</v>
      </c>
      <c r="H935" s="44">
        <f>IFERROR(AVERAGE(Data!H937), "  ")</f>
        <v>-0.14084507042253522</v>
      </c>
      <c r="I935" s="44">
        <f>IFERROR(AVERAGE(Data!I937), "  ")</f>
        <v>0.13658536585365855</v>
      </c>
      <c r="J935" s="42">
        <f>IFERROR(AVERAGE(Data!J937), "  ")</f>
        <v>28</v>
      </c>
      <c r="K935" s="44">
        <f>IFERROR(AVERAGE(Data!K937), "  ")</f>
        <v>-9.7251585623678652E-2</v>
      </c>
      <c r="L935" s="45">
        <f>IFERROR(AVERAGE(Data!L937), "  ")</f>
        <v>573</v>
      </c>
    </row>
    <row r="936" spans="1:12" x14ac:dyDescent="0.2">
      <c r="A936" s="43"/>
      <c r="B936" s="42">
        <f>IFERROR(AVERAGE(Data!B938), "  ")</f>
        <v>91</v>
      </c>
      <c r="C936" s="42">
        <f>IFERROR(AVERAGE(Data!C938), "  ")</f>
        <v>4</v>
      </c>
      <c r="D936" s="42">
        <f>IFERROR(AVERAGE(Data!D938), "  ")</f>
        <v>24</v>
      </c>
      <c r="E936" s="42">
        <f>IFERROR(AVERAGE(Data!E938), "  ")</f>
        <v>119</v>
      </c>
      <c r="F936" s="42">
        <f>IFERROR(AVERAGE(Data!F938), "  ")</f>
        <v>422</v>
      </c>
      <c r="G936" s="42">
        <f>IFERROR(AVERAGE(Data!G938), "  ")</f>
        <v>303</v>
      </c>
      <c r="H936" s="44">
        <f>IFERROR(AVERAGE(Data!H938), "  ")</f>
        <v>-1.1709601873536301E-2</v>
      </c>
      <c r="I936" s="44">
        <f>IFERROR(AVERAGE(Data!I938), "  ")</f>
        <v>-0.48927038626609443</v>
      </c>
      <c r="J936" s="42">
        <f>IFERROR(AVERAGE(Data!J938), "  ")</f>
        <v>-114</v>
      </c>
      <c r="K936" s="44">
        <f>IFERROR(AVERAGE(Data!K938), "  ")</f>
        <v>-0.34976887519260402</v>
      </c>
      <c r="L936" s="45">
        <f>IFERROR(AVERAGE(Data!L938), "  ")</f>
        <v>605.33333333333337</v>
      </c>
    </row>
    <row r="937" spans="1:12" x14ac:dyDescent="0.2">
      <c r="A937" s="43"/>
      <c r="B937" s="42">
        <f>IFERROR(AVERAGE(Data!B939), "  ")</f>
        <v>96</v>
      </c>
      <c r="C937" s="42">
        <f>IFERROR(AVERAGE(Data!C939), "  ")</f>
        <v>5</v>
      </c>
      <c r="D937" s="42">
        <f>IFERROR(AVERAGE(Data!D939), "  ")</f>
        <v>39</v>
      </c>
      <c r="E937" s="42">
        <f>IFERROR(AVERAGE(Data!E939), "  ")</f>
        <v>140</v>
      </c>
      <c r="F937" s="42">
        <f>IFERROR(AVERAGE(Data!F939), "  ")</f>
        <v>398</v>
      </c>
      <c r="G937" s="42">
        <f>IFERROR(AVERAGE(Data!G939), "  ")</f>
        <v>258</v>
      </c>
      <c r="H937" s="44">
        <f>IFERROR(AVERAGE(Data!H939), "  ")</f>
        <v>-5.6872037914691941E-2</v>
      </c>
      <c r="I937" s="44">
        <f>IFERROR(AVERAGE(Data!I939), "  ")</f>
        <v>0.17647058823529413</v>
      </c>
      <c r="J937" s="42">
        <f>IFERROR(AVERAGE(Data!J939), "  ")</f>
        <v>21</v>
      </c>
      <c r="K937" s="44">
        <f>IFERROR(AVERAGE(Data!K939), "  ")</f>
        <v>-0.22417153996101363</v>
      </c>
      <c r="L937" s="45" t="str">
        <f>IFERROR(AVERAGE(Data!L939), "  ")</f>
        <v xml:space="preserve">  </v>
      </c>
    </row>
    <row r="938" spans="1:12" x14ac:dyDescent="0.2">
      <c r="A938" s="43"/>
      <c r="B938" s="42">
        <f>IFERROR(AVERAGE(Data!B940), "  ")</f>
        <v>15</v>
      </c>
      <c r="C938" s="42">
        <f>IFERROR(AVERAGE(Data!C940), "  ")</f>
        <v>11</v>
      </c>
      <c r="D938" s="42">
        <f>IFERROR(AVERAGE(Data!D940), "  ")</f>
        <v>48</v>
      </c>
      <c r="E938" s="42">
        <f>IFERROR(AVERAGE(Data!E940), "  ")</f>
        <v>74</v>
      </c>
      <c r="F938" s="42">
        <f>IFERROR(AVERAGE(Data!F940), "  ")</f>
        <v>455</v>
      </c>
      <c r="G938" s="42">
        <f>IFERROR(AVERAGE(Data!G940), "  ")</f>
        <v>381</v>
      </c>
      <c r="H938" s="44">
        <f>IFERROR(AVERAGE(Data!H940), "  ")</f>
        <v>0.14321608040201006</v>
      </c>
      <c r="I938" s="44">
        <f>IFERROR(AVERAGE(Data!I940), "  ")</f>
        <v>-0.47142857142857142</v>
      </c>
      <c r="J938" s="42">
        <f>IFERROR(AVERAGE(Data!J940), "  ")</f>
        <v>-66</v>
      </c>
      <c r="K938" s="44">
        <f>IFERROR(AVERAGE(Data!K940), "  ")</f>
        <v>-3.1914893617021274E-2</v>
      </c>
      <c r="L938" s="45" t="str">
        <f>IFERROR(AVERAGE(Data!L940), "  ")</f>
        <v xml:space="preserve">  </v>
      </c>
    </row>
    <row r="939" spans="1:12" x14ac:dyDescent="0.2">
      <c r="A939" s="43"/>
      <c r="B939" s="42">
        <f>IFERROR(AVERAGE(Data!B941), "  ")</f>
        <v>52</v>
      </c>
      <c r="C939" s="42">
        <f>IFERROR(AVERAGE(Data!C941), "  ")</f>
        <v>15</v>
      </c>
      <c r="D939" s="42">
        <f>IFERROR(AVERAGE(Data!D941), "  ")</f>
        <v>39</v>
      </c>
      <c r="E939" s="42">
        <f>IFERROR(AVERAGE(Data!E941), "  ")</f>
        <v>106</v>
      </c>
      <c r="F939" s="42">
        <f>IFERROR(AVERAGE(Data!F941), "  ")</f>
        <v>528</v>
      </c>
      <c r="G939" s="42">
        <f>IFERROR(AVERAGE(Data!G941), "  ")</f>
        <v>422</v>
      </c>
      <c r="H939" s="44">
        <f>IFERROR(AVERAGE(Data!H941), "  ")</f>
        <v>0.16043956043956045</v>
      </c>
      <c r="I939" s="44">
        <f>IFERROR(AVERAGE(Data!I941), "  ")</f>
        <v>0.43243243243243246</v>
      </c>
      <c r="J939" s="42">
        <f>IFERROR(AVERAGE(Data!J941), "  ")</f>
        <v>32</v>
      </c>
      <c r="K939" s="44">
        <f>IFERROR(AVERAGE(Data!K941), "  ")</f>
        <v>0.51724137931034486</v>
      </c>
      <c r="L939" s="45" t="str">
        <f>IFERROR(AVERAGE(Data!L941), "  ")</f>
        <v xml:space="preserve">  </v>
      </c>
    </row>
    <row r="940" spans="1:12" x14ac:dyDescent="0.2">
      <c r="A940" s="43"/>
      <c r="B940" s="42">
        <f>IFERROR(AVERAGE(Data!B942), "  ")</f>
        <v>44</v>
      </c>
      <c r="C940" s="42">
        <f>IFERROR(AVERAGE(Data!C942), "  ")</f>
        <v>14</v>
      </c>
      <c r="D940" s="42">
        <f>IFERROR(AVERAGE(Data!D942), "  ")</f>
        <v>23</v>
      </c>
      <c r="E940" s="42">
        <f>IFERROR(AVERAGE(Data!E942), "  ")</f>
        <v>81</v>
      </c>
      <c r="F940" s="42">
        <f>IFERROR(AVERAGE(Data!F942), "  ")</f>
        <v>516</v>
      </c>
      <c r="G940" s="42">
        <f>IFERROR(AVERAGE(Data!G942), "  ")</f>
        <v>435</v>
      </c>
      <c r="H940" s="44">
        <f>IFERROR(AVERAGE(Data!H942), "  ")</f>
        <v>-2.2727272727272728E-2</v>
      </c>
      <c r="I940" s="44">
        <f>IFERROR(AVERAGE(Data!I942), "  ")</f>
        <v>-0.23584905660377359</v>
      </c>
      <c r="J940" s="42">
        <f>IFERROR(AVERAGE(Data!J942), "  ")</f>
        <v>-25</v>
      </c>
      <c r="K940" s="44">
        <f>IFERROR(AVERAGE(Data!K942), "  ")</f>
        <v>-0.11492281303602059</v>
      </c>
      <c r="L940" s="45">
        <f>IFERROR(AVERAGE(Data!L942), "  ")</f>
        <v>491.66666666666669</v>
      </c>
    </row>
    <row r="941" spans="1:12" x14ac:dyDescent="0.2">
      <c r="A941" s="43"/>
      <c r="B941" s="42">
        <f>IFERROR(AVERAGE(Data!B943), "  ")</f>
        <v>31</v>
      </c>
      <c r="C941" s="42">
        <f>IFERROR(AVERAGE(Data!C943), "  ")</f>
        <v>33</v>
      </c>
      <c r="D941" s="42">
        <f>IFERROR(AVERAGE(Data!D943), "  ")</f>
        <v>69</v>
      </c>
      <c r="E941" s="42">
        <f>IFERROR(AVERAGE(Data!E943), "  ")</f>
        <v>133</v>
      </c>
      <c r="F941" s="42">
        <f>IFERROR(AVERAGE(Data!F943), "  ")</f>
        <v>575</v>
      </c>
      <c r="G941" s="42">
        <f>IFERROR(AVERAGE(Data!G943), "  ")</f>
        <v>442</v>
      </c>
      <c r="H941" s="44">
        <f>IFERROR(AVERAGE(Data!H943), "  ")</f>
        <v>0.11434108527131782</v>
      </c>
      <c r="I941" s="44">
        <f>IFERROR(AVERAGE(Data!I943), "  ")</f>
        <v>0.64197530864197527</v>
      </c>
      <c r="J941" s="42">
        <f>IFERROR(AVERAGE(Data!J943), "  ")</f>
        <v>52</v>
      </c>
      <c r="K941" s="44">
        <f>IFERROR(AVERAGE(Data!K943), "  ")</f>
        <v>0.17586912065439672</v>
      </c>
      <c r="L941" s="45">
        <f>IFERROR(AVERAGE(Data!L943), "  ")</f>
        <v>530.66666666666663</v>
      </c>
    </row>
    <row r="942" spans="1:12" x14ac:dyDescent="0.2">
      <c r="A942" s="43"/>
      <c r="B942" s="42">
        <f>IFERROR(AVERAGE(Data!B944), "  ")</f>
        <v>72</v>
      </c>
      <c r="C942" s="42">
        <f>IFERROR(AVERAGE(Data!C944), "  ")</f>
        <v>23</v>
      </c>
      <c r="D942" s="42">
        <f>IFERROR(AVERAGE(Data!D944), "  ")</f>
        <v>201</v>
      </c>
      <c r="E942" s="42">
        <f>IFERROR(AVERAGE(Data!E944), "  ")</f>
        <v>296</v>
      </c>
      <c r="F942" s="42">
        <f>IFERROR(AVERAGE(Data!F944), "  ")</f>
        <v>718</v>
      </c>
      <c r="G942" s="42">
        <f>IFERROR(AVERAGE(Data!G944), "  ")</f>
        <v>422</v>
      </c>
      <c r="H942" s="44">
        <f>IFERROR(AVERAGE(Data!H944), "  ")</f>
        <v>0.24869565217391304</v>
      </c>
      <c r="I942" s="44">
        <f>IFERROR(AVERAGE(Data!I944), "  ")</f>
        <v>1.2255639097744362</v>
      </c>
      <c r="J942" s="42">
        <f>IFERROR(AVERAGE(Data!J944), "  ")</f>
        <v>163</v>
      </c>
      <c r="K942" s="44">
        <f>IFERROR(AVERAGE(Data!K944), "  ")</f>
        <v>0.24652777777777779</v>
      </c>
      <c r="L942" s="45">
        <f>IFERROR(AVERAGE(Data!L944), "  ")</f>
        <v>708.66666666666663</v>
      </c>
    </row>
    <row r="943" spans="1:12" x14ac:dyDescent="0.2">
      <c r="A943" s="43"/>
      <c r="B943" s="42">
        <f>IFERROR(AVERAGE(Data!B945), "  ")</f>
        <v>80</v>
      </c>
      <c r="C943" s="42">
        <f>IFERROR(AVERAGE(Data!C945), "  ")</f>
        <v>26</v>
      </c>
      <c r="D943" s="42">
        <f>IFERROR(AVERAGE(Data!D945), "  ")</f>
        <v>141</v>
      </c>
      <c r="E943" s="42">
        <f>IFERROR(AVERAGE(Data!E945), "  ")</f>
        <v>247</v>
      </c>
      <c r="F943" s="42">
        <f>IFERROR(AVERAGE(Data!F945), "  ")</f>
        <v>912</v>
      </c>
      <c r="G943" s="42">
        <f>IFERROR(AVERAGE(Data!G945), "  ")</f>
        <v>665</v>
      </c>
      <c r="H943" s="44">
        <f>IFERROR(AVERAGE(Data!H945), "  ")</f>
        <v>0.27019498607242337</v>
      </c>
      <c r="I943" s="44">
        <f>IFERROR(AVERAGE(Data!I945), "  ")</f>
        <v>-0.16554054054054054</v>
      </c>
      <c r="J943" s="42">
        <f>IFERROR(AVERAGE(Data!J945), "  ")</f>
        <v>-49</v>
      </c>
      <c r="K943" s="44">
        <f>IFERROR(AVERAGE(Data!K945), "  ")</f>
        <v>0.93220338983050843</v>
      </c>
      <c r="L943" s="45">
        <f>IFERROR(AVERAGE(Data!L945), "  ")</f>
        <v>659.33333333333337</v>
      </c>
    </row>
    <row r="944" spans="1:12" x14ac:dyDescent="0.2">
      <c r="A944" s="43"/>
      <c r="B944" s="42">
        <f>IFERROR(AVERAGE(Data!B946), "  ")</f>
        <v>174</v>
      </c>
      <c r="C944" s="42">
        <f>IFERROR(AVERAGE(Data!C946), "  ")</f>
        <v>19</v>
      </c>
      <c r="D944" s="42">
        <f>IFERROR(AVERAGE(Data!D946), "  ")</f>
        <v>138</v>
      </c>
      <c r="E944" s="42">
        <f>IFERROR(AVERAGE(Data!E946), "  ")</f>
        <v>331</v>
      </c>
      <c r="F944" s="42">
        <f>IFERROR(AVERAGE(Data!F946), "  ")</f>
        <v>867</v>
      </c>
      <c r="G944" s="42">
        <f>IFERROR(AVERAGE(Data!G946), "  ")</f>
        <v>536</v>
      </c>
      <c r="H944" s="44">
        <f>IFERROR(AVERAGE(Data!H946), "  ")</f>
        <v>-4.9342105263157895E-2</v>
      </c>
      <c r="I944" s="44">
        <f>IFERROR(AVERAGE(Data!I946), "  ")</f>
        <v>0.34008097165991902</v>
      </c>
      <c r="J944" s="42">
        <f>IFERROR(AVERAGE(Data!J946), "  ")</f>
        <v>84</v>
      </c>
      <c r="K944" s="44">
        <f>IFERROR(AVERAGE(Data!K946), "  ")</f>
        <v>0.21258741258741259</v>
      </c>
      <c r="L944" s="45">
        <f>IFERROR(AVERAGE(Data!L946), "  ")</f>
        <v>806.66666666666663</v>
      </c>
    </row>
    <row r="945" spans="1:12" x14ac:dyDescent="0.2">
      <c r="A945" s="43"/>
      <c r="B945" s="42">
        <f>IFERROR(AVERAGE(Data!B947), "  ")</f>
        <v>224</v>
      </c>
      <c r="C945" s="42">
        <f>IFERROR(AVERAGE(Data!C947), "  ")</f>
        <v>0</v>
      </c>
      <c r="D945" s="42">
        <f>IFERROR(AVERAGE(Data!D947), "  ")</f>
        <v>132</v>
      </c>
      <c r="E945" s="42">
        <f>IFERROR(AVERAGE(Data!E947), "  ")</f>
        <v>356</v>
      </c>
      <c r="F945" s="42">
        <f>IFERROR(AVERAGE(Data!F947), "  ")</f>
        <v>750</v>
      </c>
      <c r="G945" s="42">
        <f>IFERROR(AVERAGE(Data!G947), "  ")</f>
        <v>394</v>
      </c>
      <c r="H945" s="44">
        <f>IFERROR(AVERAGE(Data!H947), "  ")</f>
        <v>-0.13494809688581316</v>
      </c>
      <c r="I945" s="44">
        <f>IFERROR(AVERAGE(Data!I947), "  ")</f>
        <v>7.5528700906344406E-2</v>
      </c>
      <c r="J945" s="42">
        <f>IFERROR(AVERAGE(Data!J947), "  ")</f>
        <v>25</v>
      </c>
      <c r="K945" s="44">
        <f>IFERROR(AVERAGE(Data!K947), "  ")</f>
        <v>-0.11868390129259694</v>
      </c>
      <c r="L945" s="45">
        <f>IFERROR(AVERAGE(Data!L947), "  ")</f>
        <v>865</v>
      </c>
    </row>
    <row r="946" spans="1:12" x14ac:dyDescent="0.2">
      <c r="A946" s="43"/>
      <c r="B946" s="42">
        <f>IFERROR(AVERAGE(Data!B948), "  ")</f>
        <v>269</v>
      </c>
      <c r="C946" s="42">
        <f>IFERROR(AVERAGE(Data!C948), "  ")</f>
        <v>28</v>
      </c>
      <c r="D946" s="42">
        <f>IFERROR(AVERAGE(Data!D948), "  ")</f>
        <v>251</v>
      </c>
      <c r="E946" s="42">
        <f>IFERROR(AVERAGE(Data!E948), "  ")</f>
        <v>548</v>
      </c>
      <c r="F946" s="42">
        <f>IFERROR(AVERAGE(Data!F948), "  ")</f>
        <v>667</v>
      </c>
      <c r="G946" s="42">
        <f>IFERROR(AVERAGE(Data!G948), "  ")</f>
        <v>119</v>
      </c>
      <c r="H946" s="44">
        <f>IFERROR(AVERAGE(Data!H948), "  ")</f>
        <v>-0.11066666666666666</v>
      </c>
      <c r="I946" s="44">
        <f>IFERROR(AVERAGE(Data!I948), "  ")</f>
        <v>0.5393258426966292</v>
      </c>
      <c r="J946" s="42">
        <f>IFERROR(AVERAGE(Data!J948), "  ")</f>
        <v>192</v>
      </c>
      <c r="K946" s="44">
        <f>IFERROR(AVERAGE(Data!K948), "  ")</f>
        <v>0.11538461538461539</v>
      </c>
      <c r="L946" s="45">
        <f>IFERROR(AVERAGE(Data!L948), "  ")</f>
        <v>703.33333333333337</v>
      </c>
    </row>
    <row r="947" spans="1:12" x14ac:dyDescent="0.2">
      <c r="A947" s="43"/>
      <c r="B947" s="42">
        <f>IFERROR(AVERAGE(Data!B949), "  ")</f>
        <v>250</v>
      </c>
      <c r="C947" s="42">
        <f>IFERROR(AVERAGE(Data!C949), "  ")</f>
        <v>16</v>
      </c>
      <c r="D947" s="42">
        <f>IFERROR(AVERAGE(Data!D949), "  ")</f>
        <v>142</v>
      </c>
      <c r="E947" s="42">
        <f>IFERROR(AVERAGE(Data!E949), "  ")</f>
        <v>408</v>
      </c>
      <c r="F947" s="42">
        <f>IFERROR(AVERAGE(Data!F949), "  ")</f>
        <v>752</v>
      </c>
      <c r="G947" s="42">
        <f>IFERROR(AVERAGE(Data!G949), "  ")</f>
        <v>344</v>
      </c>
      <c r="H947" s="44">
        <f>IFERROR(AVERAGE(Data!H949), "  ")</f>
        <v>0.12743628185907047</v>
      </c>
      <c r="I947" s="44">
        <f>IFERROR(AVERAGE(Data!I949), "  ")</f>
        <v>-0.25547445255474455</v>
      </c>
      <c r="J947" s="42">
        <f>IFERROR(AVERAGE(Data!J949), "  ")</f>
        <v>-140</v>
      </c>
      <c r="K947" s="44">
        <f>IFERROR(AVERAGE(Data!K949), "  ")</f>
        <v>0.21880064829821719</v>
      </c>
      <c r="L947" s="45">
        <f>IFERROR(AVERAGE(Data!L949), "  ")</f>
        <v>814.66666666666663</v>
      </c>
    </row>
    <row r="948" spans="1:12" x14ac:dyDescent="0.2">
      <c r="A948" s="43"/>
      <c r="B948" s="42">
        <f>IFERROR(AVERAGE(Data!B950), "  ")</f>
        <v>255</v>
      </c>
      <c r="C948" s="42">
        <f>IFERROR(AVERAGE(Data!C950), "  ")</f>
        <v>23</v>
      </c>
      <c r="D948" s="42">
        <f>IFERROR(AVERAGE(Data!D950), "  ")</f>
        <v>237</v>
      </c>
      <c r="E948" s="42">
        <f>IFERROR(AVERAGE(Data!E950), "  ")</f>
        <v>515</v>
      </c>
      <c r="F948" s="42">
        <f>IFERROR(AVERAGE(Data!F950), "  ")</f>
        <v>726</v>
      </c>
      <c r="G948" s="42">
        <f>IFERROR(AVERAGE(Data!G950), "  ")</f>
        <v>211</v>
      </c>
      <c r="H948" s="44">
        <f>IFERROR(AVERAGE(Data!H950), "  ")</f>
        <v>-3.4574468085106384E-2</v>
      </c>
      <c r="I948" s="44">
        <f>IFERROR(AVERAGE(Data!I950), "  ")</f>
        <v>0.26225490196078433</v>
      </c>
      <c r="J948" s="42">
        <f>IFERROR(AVERAGE(Data!J950), "  ")</f>
        <v>107</v>
      </c>
      <c r="K948" s="44">
        <f>IFERROR(AVERAGE(Data!K950), "  ")</f>
        <v>-0.12530120481927712</v>
      </c>
      <c r="L948" s="45">
        <f>IFERROR(AVERAGE(Data!L950), "  ")</f>
        <v>883.66666666666663</v>
      </c>
    </row>
    <row r="949" spans="1:12" x14ac:dyDescent="0.2">
      <c r="A949" s="43"/>
      <c r="B949" s="42">
        <f>IFERROR(AVERAGE(Data!B951), "  ")</f>
        <v>285</v>
      </c>
      <c r="C949" s="42">
        <f>IFERROR(AVERAGE(Data!C951), "  ")</f>
        <v>15</v>
      </c>
      <c r="D949" s="42">
        <f>IFERROR(AVERAGE(Data!D951), "  ")</f>
        <v>173</v>
      </c>
      <c r="E949" s="42">
        <f>IFERROR(AVERAGE(Data!E951), "  ")</f>
        <v>473</v>
      </c>
      <c r="F949" s="42">
        <f>IFERROR(AVERAGE(Data!F951), "  ")</f>
        <v>712</v>
      </c>
      <c r="G949" s="42">
        <f>IFERROR(AVERAGE(Data!G951), "  ")</f>
        <v>239</v>
      </c>
      <c r="H949" s="44">
        <f>IFERROR(AVERAGE(Data!H951), "  ")</f>
        <v>-1.928374655647383E-2</v>
      </c>
      <c r="I949" s="44">
        <f>IFERROR(AVERAGE(Data!I951), "  ")</f>
        <v>-8.155339805825243E-2</v>
      </c>
      <c r="J949" s="42">
        <f>IFERROR(AVERAGE(Data!J951), "  ")</f>
        <v>-42</v>
      </c>
      <c r="K949" s="44">
        <f>IFERROR(AVERAGE(Data!K951), "  ")</f>
        <v>-0.13801452784503632</v>
      </c>
      <c r="L949" s="45">
        <f>IFERROR(AVERAGE(Data!L951), "  ")</f>
        <v>902.33333333333337</v>
      </c>
    </row>
    <row r="950" spans="1:12" x14ac:dyDescent="0.2">
      <c r="A950" s="43"/>
      <c r="B950" s="42">
        <f>IFERROR(AVERAGE(Data!B952), "  ")</f>
        <v>358</v>
      </c>
      <c r="C950" s="42">
        <f>IFERROR(AVERAGE(Data!C952), "  ")</f>
        <v>30</v>
      </c>
      <c r="D950" s="42">
        <f>IFERROR(AVERAGE(Data!D952), "  ")</f>
        <v>204</v>
      </c>
      <c r="E950" s="42">
        <f>IFERROR(AVERAGE(Data!E952), "  ")</f>
        <v>592</v>
      </c>
      <c r="F950" s="42">
        <f>IFERROR(AVERAGE(Data!F952), "  ")</f>
        <v>641</v>
      </c>
      <c r="G950" s="42">
        <f>IFERROR(AVERAGE(Data!G952), "  ")</f>
        <v>49</v>
      </c>
      <c r="H950" s="44">
        <f>IFERROR(AVERAGE(Data!H952), "  ")</f>
        <v>-9.9719101123595499E-2</v>
      </c>
      <c r="I950" s="44">
        <f>IFERROR(AVERAGE(Data!I952), "  ")</f>
        <v>0.25158562367864695</v>
      </c>
      <c r="J950" s="42">
        <f>IFERROR(AVERAGE(Data!J952), "  ")</f>
        <v>119</v>
      </c>
      <c r="K950" s="44">
        <f>IFERROR(AVERAGE(Data!K952), "  ")</f>
        <v>-0.12311901504787962</v>
      </c>
      <c r="L950" s="45">
        <f>IFERROR(AVERAGE(Data!L952), "  ")</f>
        <v>872.66666666666663</v>
      </c>
    </row>
    <row r="951" spans="1:12" x14ac:dyDescent="0.2">
      <c r="A951" s="43"/>
      <c r="B951" s="42">
        <f>IFERROR(AVERAGE(Data!B953), "  ")</f>
        <v>267</v>
      </c>
      <c r="C951" s="42">
        <f>IFERROR(AVERAGE(Data!C953), "  ")</f>
        <v>19</v>
      </c>
      <c r="D951" s="42">
        <f>IFERROR(AVERAGE(Data!D953), "  ")</f>
        <v>166</v>
      </c>
      <c r="E951" s="42">
        <f>IFERROR(AVERAGE(Data!E953), "  ")</f>
        <v>452</v>
      </c>
      <c r="F951" s="42">
        <f>IFERROR(AVERAGE(Data!F953), "  ")</f>
        <v>532</v>
      </c>
      <c r="G951" s="42">
        <f>IFERROR(AVERAGE(Data!G953), "  ")</f>
        <v>80</v>
      </c>
      <c r="H951" s="44">
        <f>IFERROR(AVERAGE(Data!H953), "  ")</f>
        <v>-0.17004680187207488</v>
      </c>
      <c r="I951" s="44">
        <f>IFERROR(AVERAGE(Data!I953), "  ")</f>
        <v>-0.23648648648648649</v>
      </c>
      <c r="J951" s="42">
        <f>IFERROR(AVERAGE(Data!J953), "  ")</f>
        <v>-140</v>
      </c>
      <c r="K951" s="44">
        <f>IFERROR(AVERAGE(Data!K953), "  ")</f>
        <v>-0.39954853273137697</v>
      </c>
      <c r="L951" s="45">
        <f>IFERROR(AVERAGE(Data!L953), "  ")</f>
        <v>845.66666666666663</v>
      </c>
    </row>
    <row r="952" spans="1:12" x14ac:dyDescent="0.2">
      <c r="A952" s="43"/>
      <c r="B952" s="42">
        <f>IFERROR(AVERAGE(Data!B954), "  ")</f>
        <v>257</v>
      </c>
      <c r="C952" s="42">
        <f>IFERROR(AVERAGE(Data!C954), "  ")</f>
        <v>22</v>
      </c>
      <c r="D952" s="42">
        <f>IFERROR(AVERAGE(Data!D954), "  ")</f>
        <v>131</v>
      </c>
      <c r="E952" s="42">
        <f>IFERROR(AVERAGE(Data!E954), "  ")</f>
        <v>410</v>
      </c>
      <c r="F952" s="42">
        <f>IFERROR(AVERAGE(Data!F954), "  ")</f>
        <v>684</v>
      </c>
      <c r="G952" s="42">
        <f>IFERROR(AVERAGE(Data!G954), "  ")</f>
        <v>274</v>
      </c>
      <c r="H952" s="44">
        <f>IFERROR(AVERAGE(Data!H954), "  ")</f>
        <v>0.2857142857142857</v>
      </c>
      <c r="I952" s="44">
        <f>IFERROR(AVERAGE(Data!I954), "  ")</f>
        <v>-9.2920353982300891E-2</v>
      </c>
      <c r="J952" s="42">
        <f>IFERROR(AVERAGE(Data!J954), "  ")</f>
        <v>-42</v>
      </c>
      <c r="K952" s="44">
        <f>IFERROR(AVERAGE(Data!K954), "  ")</f>
        <v>-4.8678720445062586E-2</v>
      </c>
      <c r="L952" s="45">
        <f>IFERROR(AVERAGE(Data!L954), "  ")</f>
        <v>828.66666666666663</v>
      </c>
    </row>
    <row r="953" spans="1:12" x14ac:dyDescent="0.2">
      <c r="A953" s="43"/>
      <c r="B953" s="42">
        <f>IFERROR(AVERAGE(Data!B955), "  ")</f>
        <v>223</v>
      </c>
      <c r="C953" s="42">
        <f>IFERROR(AVERAGE(Data!C955), "  ")</f>
        <v>16</v>
      </c>
      <c r="D953" s="42">
        <f>IFERROR(AVERAGE(Data!D955), "  ")</f>
        <v>159</v>
      </c>
      <c r="E953" s="42">
        <f>IFERROR(AVERAGE(Data!E955), "  ")</f>
        <v>398</v>
      </c>
      <c r="F953" s="42">
        <f>IFERROR(AVERAGE(Data!F955), "  ")</f>
        <v>858</v>
      </c>
      <c r="G953" s="42">
        <f>IFERROR(AVERAGE(Data!G955), "  ")</f>
        <v>460</v>
      </c>
      <c r="H953" s="44">
        <f>IFERROR(AVERAGE(Data!H955), "  ")</f>
        <v>0.25438596491228072</v>
      </c>
      <c r="I953" s="44">
        <f>IFERROR(AVERAGE(Data!I955), "  ")</f>
        <v>-2.9268292682926831E-2</v>
      </c>
      <c r="J953" s="42">
        <f>IFERROR(AVERAGE(Data!J955), "  ")</f>
        <v>-12</v>
      </c>
      <c r="K953" s="44">
        <f>IFERROR(AVERAGE(Data!K955), "  ")</f>
        <v>-0.13069908814589665</v>
      </c>
      <c r="L953" s="45">
        <f>IFERROR(AVERAGE(Data!L955), "  ")</f>
        <v>955.66666666666663</v>
      </c>
    </row>
    <row r="954" spans="1:12" x14ac:dyDescent="0.2">
      <c r="A954" s="43"/>
      <c r="B954" s="42">
        <f>IFERROR(AVERAGE(Data!B956), "  ")</f>
        <v>190</v>
      </c>
      <c r="C954" s="42">
        <f>IFERROR(AVERAGE(Data!C956), "  ")</f>
        <v>22</v>
      </c>
      <c r="D954" s="42">
        <f>IFERROR(AVERAGE(Data!D956), "  ")</f>
        <v>104</v>
      </c>
      <c r="E954" s="42">
        <f>IFERROR(AVERAGE(Data!E956), "  ")</f>
        <v>316</v>
      </c>
      <c r="F954" s="42">
        <f>IFERROR(AVERAGE(Data!F956), "  ")</f>
        <v>811</v>
      </c>
      <c r="G954" s="42">
        <f>IFERROR(AVERAGE(Data!G956), "  ")</f>
        <v>495</v>
      </c>
      <c r="H954" s="44">
        <f>IFERROR(AVERAGE(Data!H956), "  ")</f>
        <v>-5.4778554778554776E-2</v>
      </c>
      <c r="I954" s="44">
        <f>IFERROR(AVERAGE(Data!I956), "  ")</f>
        <v>-0.20603015075376885</v>
      </c>
      <c r="J954" s="42">
        <f>IFERROR(AVERAGE(Data!J956), "  ")</f>
        <v>-82</v>
      </c>
      <c r="K954" s="44">
        <f>IFERROR(AVERAGE(Data!K956), "  ")</f>
        <v>-8.0498866213151929E-2</v>
      </c>
      <c r="L954" s="45">
        <f>IFERROR(AVERAGE(Data!L956), "  ")</f>
        <v>885.66666666666663</v>
      </c>
    </row>
    <row r="955" spans="1:12" x14ac:dyDescent="0.2">
      <c r="A955" s="43"/>
      <c r="B955" s="42">
        <f>IFERROR(AVERAGE(Data!B957), "  ")</f>
        <v>120</v>
      </c>
      <c r="C955" s="42">
        <f>IFERROR(AVERAGE(Data!C957), "  ")</f>
        <v>14</v>
      </c>
      <c r="D955" s="42">
        <f>IFERROR(AVERAGE(Data!D957), "  ")</f>
        <v>131</v>
      </c>
      <c r="E955" s="42">
        <f>IFERROR(AVERAGE(Data!E957), "  ")</f>
        <v>265</v>
      </c>
      <c r="F955" s="42">
        <f>IFERROR(AVERAGE(Data!F957), "  ")</f>
        <v>605</v>
      </c>
      <c r="G955" s="42">
        <f>IFERROR(AVERAGE(Data!G957), "  ")</f>
        <v>340</v>
      </c>
      <c r="H955" s="44">
        <f>IFERROR(AVERAGE(Data!H957), "  ")</f>
        <v>-0.25400739827373614</v>
      </c>
      <c r="I955" s="44">
        <f>IFERROR(AVERAGE(Data!I957), "  ")</f>
        <v>-0.16139240506329114</v>
      </c>
      <c r="J955" s="42">
        <f>IFERROR(AVERAGE(Data!J957), "  ")</f>
        <v>-51</v>
      </c>
      <c r="K955" s="44">
        <f>IFERROR(AVERAGE(Data!K957), "  ")</f>
        <v>-0.23125794155019061</v>
      </c>
      <c r="L955" s="45">
        <f>IFERROR(AVERAGE(Data!L957), "  ")</f>
        <v>889.66666666666663</v>
      </c>
    </row>
    <row r="956" spans="1:12" x14ac:dyDescent="0.2">
      <c r="A956" s="43"/>
      <c r="B956" s="42">
        <f>IFERROR(AVERAGE(Data!B958), "  ")</f>
        <v>137</v>
      </c>
      <c r="C956" s="42">
        <f>IFERROR(AVERAGE(Data!C958), "  ")</f>
        <v>11</v>
      </c>
      <c r="D956" s="42">
        <f>IFERROR(AVERAGE(Data!D958), "  ")</f>
        <v>101</v>
      </c>
      <c r="E956" s="42">
        <f>IFERROR(AVERAGE(Data!E958), "  ")</f>
        <v>249</v>
      </c>
      <c r="F956" s="42">
        <f>IFERROR(AVERAGE(Data!F958), "  ")</f>
        <v>839</v>
      </c>
      <c r="G956" s="42">
        <f>IFERROR(AVERAGE(Data!G958), "  ")</f>
        <v>590</v>
      </c>
      <c r="H956" s="44">
        <f>IFERROR(AVERAGE(Data!H958), "  ")</f>
        <v>0.38677685950413221</v>
      </c>
      <c r="I956" s="44">
        <f>IFERROR(AVERAGE(Data!I958), "  ")</f>
        <v>-6.0377358490566038E-2</v>
      </c>
      <c r="J956" s="42">
        <f>IFERROR(AVERAGE(Data!J958), "  ")</f>
        <v>-16</v>
      </c>
      <c r="K956" s="44">
        <f>IFERROR(AVERAGE(Data!K958), "  ")</f>
        <v>0.34239999999999998</v>
      </c>
      <c r="L956" s="45">
        <f>IFERROR(AVERAGE(Data!L958), "  ")</f>
        <v>838.33333333333337</v>
      </c>
    </row>
    <row r="957" spans="1:12" x14ac:dyDescent="0.2">
      <c r="A957" s="43"/>
      <c r="B957" s="42">
        <f>IFERROR(AVERAGE(Data!B959), "  ")</f>
        <v>227</v>
      </c>
      <c r="C957" s="42">
        <f>IFERROR(AVERAGE(Data!C959), "  ")</f>
        <v>11</v>
      </c>
      <c r="D957" s="42">
        <f>IFERROR(AVERAGE(Data!D959), "  ")</f>
        <v>190</v>
      </c>
      <c r="E957" s="42">
        <f>IFERROR(AVERAGE(Data!E959), "  ")</f>
        <v>428</v>
      </c>
      <c r="F957" s="42">
        <f>IFERROR(AVERAGE(Data!F959), "  ")</f>
        <v>778</v>
      </c>
      <c r="G957" s="42">
        <f>IFERROR(AVERAGE(Data!G959), "  ")</f>
        <v>350</v>
      </c>
      <c r="H957" s="44">
        <f>IFERROR(AVERAGE(Data!H959), "  ")</f>
        <v>-7.270560190703218E-2</v>
      </c>
      <c r="I957" s="44">
        <f>IFERROR(AVERAGE(Data!I959), "  ")</f>
        <v>0.71887550200803207</v>
      </c>
      <c r="J957" s="42">
        <f>IFERROR(AVERAGE(Data!J959), "  ")</f>
        <v>179</v>
      </c>
      <c r="K957" s="44">
        <f>IFERROR(AVERAGE(Data!K959), "  ")</f>
        <v>-0.10677382319173363</v>
      </c>
      <c r="L957" s="45">
        <f>IFERROR(AVERAGE(Data!L959), "  ")</f>
        <v>889.66666666666663</v>
      </c>
    </row>
    <row r="958" spans="1:12" x14ac:dyDescent="0.2">
      <c r="A958" s="43"/>
      <c r="B958" s="42">
        <f>IFERROR(AVERAGE(Data!B960), "  ")</f>
        <v>84</v>
      </c>
      <c r="C958" s="42">
        <f>IFERROR(AVERAGE(Data!C960), "  ")</f>
        <v>23</v>
      </c>
      <c r="D958" s="42">
        <f>IFERROR(AVERAGE(Data!D960), "  ")</f>
        <v>117</v>
      </c>
      <c r="E958" s="42">
        <f>IFERROR(AVERAGE(Data!E960), "  ")</f>
        <v>224</v>
      </c>
      <c r="F958" s="42">
        <f>IFERROR(AVERAGE(Data!F960), "  ")</f>
        <v>681</v>
      </c>
      <c r="G958" s="42">
        <f>IFERROR(AVERAGE(Data!G960), "  ")</f>
        <v>457</v>
      </c>
      <c r="H958" s="44">
        <f>IFERROR(AVERAGE(Data!H960), "  ")</f>
        <v>-0.12467866323907455</v>
      </c>
      <c r="I958" s="44">
        <f>IFERROR(AVERAGE(Data!I960), "  ")</f>
        <v>-0.47663551401869159</v>
      </c>
      <c r="J958" s="42">
        <f>IFERROR(AVERAGE(Data!J960), "  ")</f>
        <v>-204</v>
      </c>
      <c r="K958" s="44">
        <f>IFERROR(AVERAGE(Data!K960), "  ")</f>
        <v>1.0385756676557863E-2</v>
      </c>
      <c r="L958" s="45">
        <f>IFERROR(AVERAGE(Data!L960), "  ")</f>
        <v>823</v>
      </c>
    </row>
    <row r="959" spans="1:12" x14ac:dyDescent="0.2">
      <c r="A959" s="43"/>
      <c r="B959" s="42">
        <f>IFERROR(AVERAGE(Data!B961), "  ")</f>
        <v>109</v>
      </c>
      <c r="C959" s="42">
        <f>IFERROR(AVERAGE(Data!C961), "  ")</f>
        <v>17</v>
      </c>
      <c r="D959" s="42">
        <f>IFERROR(AVERAGE(Data!D961), "  ")</f>
        <v>107</v>
      </c>
      <c r="E959" s="42">
        <f>IFERROR(AVERAGE(Data!E961), "  ")</f>
        <v>233</v>
      </c>
      <c r="F959" s="42">
        <f>IFERROR(AVERAGE(Data!F961), "  ")</f>
        <v>473</v>
      </c>
      <c r="G959" s="42">
        <f>IFERROR(AVERAGE(Data!G961), "  ")</f>
        <v>240</v>
      </c>
      <c r="H959" s="44">
        <f>IFERROR(AVERAGE(Data!H961), "  ")</f>
        <v>-0.3054331864904552</v>
      </c>
      <c r="I959" s="44">
        <f>IFERROR(AVERAGE(Data!I961), "  ")</f>
        <v>4.0178571428571432E-2</v>
      </c>
      <c r="J959" s="42">
        <f>IFERROR(AVERAGE(Data!J961), "  ")</f>
        <v>9</v>
      </c>
      <c r="K959" s="44">
        <f>IFERROR(AVERAGE(Data!K961), "  ")</f>
        <v>-0.38967741935483868</v>
      </c>
      <c r="L959" s="45">
        <f>IFERROR(AVERAGE(Data!L961), "  ")</f>
        <v>803.66666666666663</v>
      </c>
    </row>
    <row r="960" spans="1:12" x14ac:dyDescent="0.2">
      <c r="A960" s="43"/>
      <c r="B960" s="42">
        <f>IFERROR(AVERAGE(Data!B962), "  ")</f>
        <v>157</v>
      </c>
      <c r="C960" s="42">
        <f>IFERROR(AVERAGE(Data!C962), "  ")</f>
        <v>22</v>
      </c>
      <c r="D960" s="42">
        <f>IFERROR(AVERAGE(Data!D962), "  ")</f>
        <v>234</v>
      </c>
      <c r="E960" s="42">
        <f>IFERROR(AVERAGE(Data!E962), "  ")</f>
        <v>413</v>
      </c>
      <c r="F960" s="42">
        <f>IFERROR(AVERAGE(Data!F962), "  ")</f>
        <v>773</v>
      </c>
      <c r="G960" s="42">
        <f>IFERROR(AVERAGE(Data!G962), "  ")</f>
        <v>360</v>
      </c>
      <c r="H960" s="44">
        <f>IFERROR(AVERAGE(Data!H962), "  ")</f>
        <v>0.63424947145877375</v>
      </c>
      <c r="I960" s="44">
        <f>IFERROR(AVERAGE(Data!I962), "  ")</f>
        <v>0.77253218884120167</v>
      </c>
      <c r="J960" s="42">
        <f>IFERROR(AVERAGE(Data!J962), "  ")</f>
        <v>180</v>
      </c>
      <c r="K960" s="44">
        <f>IFERROR(AVERAGE(Data!K962), "  ")</f>
        <v>0.10903873744619799</v>
      </c>
      <c r="L960" s="45">
        <f>IFERROR(AVERAGE(Data!L962), "  ")</f>
        <v>790.33333333333337</v>
      </c>
    </row>
    <row r="961" spans="1:12" x14ac:dyDescent="0.2">
      <c r="A961" s="43"/>
      <c r="B961" s="42">
        <f>IFERROR(AVERAGE(Data!B963), "  ")</f>
        <v>125</v>
      </c>
      <c r="C961" s="42">
        <f>IFERROR(AVERAGE(Data!C963), "  ")</f>
        <v>25</v>
      </c>
      <c r="D961" s="42">
        <f>IFERROR(AVERAGE(Data!D963), "  ")</f>
        <v>237</v>
      </c>
      <c r="E961" s="42">
        <f>IFERROR(AVERAGE(Data!E963), "  ")</f>
        <v>387</v>
      </c>
      <c r="F961" s="42">
        <f>IFERROR(AVERAGE(Data!F963), "  ")</f>
        <v>755</v>
      </c>
      <c r="G961" s="42">
        <f>IFERROR(AVERAGE(Data!G963), "  ")</f>
        <v>368</v>
      </c>
      <c r="H961" s="44">
        <f>IFERROR(AVERAGE(Data!H963), "  ")</f>
        <v>-2.3285899094437259E-2</v>
      </c>
      <c r="I961" s="44">
        <f>IFERROR(AVERAGE(Data!I963), "  ")</f>
        <v>-6.2953995157384993E-2</v>
      </c>
      <c r="J961" s="42">
        <f>IFERROR(AVERAGE(Data!J963), "  ")</f>
        <v>-26</v>
      </c>
      <c r="K961" s="44">
        <f>IFERROR(AVERAGE(Data!K963), "  ")</f>
        <v>-2.5806451612903226E-2</v>
      </c>
      <c r="L961" s="45">
        <f>IFERROR(AVERAGE(Data!L963), "  ")</f>
        <v>791.66666666666663</v>
      </c>
    </row>
    <row r="962" spans="1:12" x14ac:dyDescent="0.2">
      <c r="A962" s="43"/>
      <c r="B962" s="42">
        <f>IFERROR(AVERAGE(Data!B964), "  ")</f>
        <v>130</v>
      </c>
      <c r="C962" s="42">
        <f>IFERROR(AVERAGE(Data!C964), "  ")</f>
        <v>27</v>
      </c>
      <c r="D962" s="42">
        <f>IFERROR(AVERAGE(Data!D964), "  ")</f>
        <v>228</v>
      </c>
      <c r="E962" s="42">
        <f>IFERROR(AVERAGE(Data!E964), "  ")</f>
        <v>385</v>
      </c>
      <c r="F962" s="42">
        <f>IFERROR(AVERAGE(Data!F964), "  ")</f>
        <v>680</v>
      </c>
      <c r="G962" s="42">
        <f>IFERROR(AVERAGE(Data!G964), "  ")</f>
        <v>295</v>
      </c>
      <c r="H962" s="44">
        <f>IFERROR(AVERAGE(Data!H964), "  ")</f>
        <v>-9.9337748344370855E-2</v>
      </c>
      <c r="I962" s="44">
        <f>IFERROR(AVERAGE(Data!I964), "  ")</f>
        <v>-5.1679586563307496E-3</v>
      </c>
      <c r="J962" s="42">
        <f>IFERROR(AVERAGE(Data!J964), "  ")</f>
        <v>-2</v>
      </c>
      <c r="K962" s="44">
        <f>IFERROR(AVERAGE(Data!K964), "  ")</f>
        <v>-0.10052910052910052</v>
      </c>
      <c r="L962" s="45">
        <f>IFERROR(AVERAGE(Data!L964), "  ")</f>
        <v>723.66666666666663</v>
      </c>
    </row>
    <row r="963" spans="1:12" x14ac:dyDescent="0.2">
      <c r="A963" s="43"/>
      <c r="B963" s="42">
        <f>IFERROR(AVERAGE(Data!B965), "  ")</f>
        <v>169</v>
      </c>
      <c r="C963" s="42">
        <f>IFERROR(AVERAGE(Data!C965), "  ")</f>
        <v>23</v>
      </c>
      <c r="D963" s="42">
        <f>IFERROR(AVERAGE(Data!D965), "  ")</f>
        <v>239</v>
      </c>
      <c r="E963" s="42">
        <f>IFERROR(AVERAGE(Data!E965), "  ")</f>
        <v>431</v>
      </c>
      <c r="F963" s="42">
        <f>IFERROR(AVERAGE(Data!F965), "  ")</f>
        <v>767</v>
      </c>
      <c r="G963" s="42">
        <f>IFERROR(AVERAGE(Data!G965), "  ")</f>
        <v>336</v>
      </c>
      <c r="H963" s="44">
        <f>IFERROR(AVERAGE(Data!H965), "  ")</f>
        <v>0.12794117647058822</v>
      </c>
      <c r="I963" s="44">
        <f>IFERROR(AVERAGE(Data!I965), "  ")</f>
        <v>0.11948051948051948</v>
      </c>
      <c r="J963" s="42">
        <f>IFERROR(AVERAGE(Data!J965), "  ")</f>
        <v>46</v>
      </c>
      <c r="K963" s="44">
        <f>IFERROR(AVERAGE(Data!K965), "  ")</f>
        <v>0.6113445378151261</v>
      </c>
      <c r="L963" s="45">
        <f>IFERROR(AVERAGE(Data!L965), "  ")</f>
        <v>662.33333333333337</v>
      </c>
    </row>
    <row r="964" spans="1:12" x14ac:dyDescent="0.2">
      <c r="A964" s="43"/>
      <c r="B964" s="42">
        <f>IFERROR(AVERAGE(Data!B966), "  ")</f>
        <v>115</v>
      </c>
      <c r="C964" s="42">
        <f>IFERROR(AVERAGE(Data!C966), "  ")</f>
        <v>26</v>
      </c>
      <c r="D964" s="42">
        <f>IFERROR(AVERAGE(Data!D966), "  ")</f>
        <v>136</v>
      </c>
      <c r="E964" s="42">
        <f>IFERROR(AVERAGE(Data!E966), "  ")</f>
        <v>277</v>
      </c>
      <c r="F964" s="42">
        <f>IFERROR(AVERAGE(Data!F966), "  ")</f>
        <v>732</v>
      </c>
      <c r="G964" s="42">
        <f>IFERROR(AVERAGE(Data!G966), "  ")</f>
        <v>455</v>
      </c>
      <c r="H964" s="44">
        <f>IFERROR(AVERAGE(Data!H966), "  ")</f>
        <v>-4.563233376792699E-2</v>
      </c>
      <c r="I964" s="44">
        <f>IFERROR(AVERAGE(Data!I966), "  ")</f>
        <v>-0.35730858468677495</v>
      </c>
      <c r="J964" s="42">
        <f>IFERROR(AVERAGE(Data!J966), "  ")</f>
        <v>-154</v>
      </c>
      <c r="K964" s="44">
        <f>IFERROR(AVERAGE(Data!K966), "  ")</f>
        <v>-5.5483870967741933E-2</v>
      </c>
      <c r="L964" s="45">
        <f>IFERROR(AVERAGE(Data!L966), "  ")</f>
        <v>794</v>
      </c>
    </row>
    <row r="965" spans="1:12" x14ac:dyDescent="0.2">
      <c r="A965" s="43"/>
      <c r="B965" s="42">
        <f>IFERROR(AVERAGE(Data!B967), "  ")</f>
        <v>147</v>
      </c>
      <c r="C965" s="42">
        <f>IFERROR(AVERAGE(Data!C967), "  ")</f>
        <v>19</v>
      </c>
      <c r="D965" s="42">
        <f>IFERROR(AVERAGE(Data!D967), "  ")</f>
        <v>207</v>
      </c>
      <c r="E965" s="42">
        <f>IFERROR(AVERAGE(Data!E967), "  ")</f>
        <v>373</v>
      </c>
      <c r="F965" s="42">
        <f>IFERROR(AVERAGE(Data!F967), "  ")</f>
        <v>621</v>
      </c>
      <c r="G965" s="42">
        <f>IFERROR(AVERAGE(Data!G967), "  ")</f>
        <v>248</v>
      </c>
      <c r="H965" s="44">
        <f>IFERROR(AVERAGE(Data!H967), "  ")</f>
        <v>-0.15163934426229508</v>
      </c>
      <c r="I965" s="44">
        <f>IFERROR(AVERAGE(Data!I967), "  ")</f>
        <v>0.34657039711191334</v>
      </c>
      <c r="J965" s="42">
        <f>IFERROR(AVERAGE(Data!J967), "  ")</f>
        <v>96</v>
      </c>
      <c r="K965" s="44">
        <f>IFERROR(AVERAGE(Data!K967), "  ")</f>
        <v>-6.7567567567567571E-2</v>
      </c>
      <c r="L965" s="45">
        <f>IFERROR(AVERAGE(Data!L967), "  ")</f>
        <v>733</v>
      </c>
    </row>
    <row r="966" spans="1:12" x14ac:dyDescent="0.2">
      <c r="A966" s="43"/>
      <c r="B966" s="42">
        <f>IFERROR(AVERAGE(Data!B968), "  ")</f>
        <v>122</v>
      </c>
      <c r="C966" s="42">
        <f>IFERROR(AVERAGE(Data!C968), "  ")</f>
        <v>20</v>
      </c>
      <c r="D966" s="42">
        <f>IFERROR(AVERAGE(Data!D968), "  ")</f>
        <v>168</v>
      </c>
      <c r="E966" s="42">
        <f>IFERROR(AVERAGE(Data!E968), "  ")</f>
        <v>310</v>
      </c>
      <c r="F966" s="42">
        <f>IFERROR(AVERAGE(Data!F968), "  ")</f>
        <v>618</v>
      </c>
      <c r="G966" s="42">
        <f>IFERROR(AVERAGE(Data!G968), "  ")</f>
        <v>308</v>
      </c>
      <c r="H966" s="44">
        <f>IFERROR(AVERAGE(Data!H968), "  ")</f>
        <v>-4.830917874396135E-3</v>
      </c>
      <c r="I966" s="44">
        <f>IFERROR(AVERAGE(Data!I968), "  ")</f>
        <v>-0.16890080428954424</v>
      </c>
      <c r="J966" s="42">
        <f>IFERROR(AVERAGE(Data!J968), "  ")</f>
        <v>-63</v>
      </c>
      <c r="K966" s="44">
        <f>IFERROR(AVERAGE(Data!K968), "  ")</f>
        <v>-0.11587982832618025</v>
      </c>
      <c r="L966" s="45">
        <f>IFERROR(AVERAGE(Data!L968), "  ")</f>
        <v>701.66666666666663</v>
      </c>
    </row>
    <row r="967" spans="1:12" x14ac:dyDescent="0.2">
      <c r="A967" s="43"/>
      <c r="B967" s="42">
        <f>IFERROR(AVERAGE(Data!B969), "  ")</f>
        <v>274</v>
      </c>
      <c r="C967" s="42">
        <f>IFERROR(AVERAGE(Data!C969), "  ")</f>
        <v>24</v>
      </c>
      <c r="D967" s="42">
        <f>IFERROR(AVERAGE(Data!D969), "  ")</f>
        <v>266</v>
      </c>
      <c r="E967" s="42">
        <f>IFERROR(AVERAGE(Data!E969), "  ")</f>
        <v>564</v>
      </c>
      <c r="F967" s="42">
        <f>IFERROR(AVERAGE(Data!F969), "  ")</f>
        <v>649</v>
      </c>
      <c r="G967" s="42">
        <f>IFERROR(AVERAGE(Data!G969), "  ")</f>
        <v>85</v>
      </c>
      <c r="H967" s="44">
        <f>IFERROR(AVERAGE(Data!H969), "  ")</f>
        <v>5.0161812297734629E-2</v>
      </c>
      <c r="I967" s="44">
        <f>IFERROR(AVERAGE(Data!I969), "  ")</f>
        <v>0.8193548387096774</v>
      </c>
      <c r="J967" s="42">
        <f>IFERROR(AVERAGE(Data!J969), "  ")</f>
        <v>254</v>
      </c>
      <c r="K967" s="44">
        <f>IFERROR(AVERAGE(Data!K969), "  ")</f>
        <v>-1.0670731707317074E-2</v>
      </c>
      <c r="L967" s="45">
        <f>IFERROR(AVERAGE(Data!L969), "  ")</f>
        <v>677.66666666666663</v>
      </c>
    </row>
    <row r="968" spans="1:12" x14ac:dyDescent="0.2">
      <c r="A968" s="43"/>
      <c r="B968" s="42">
        <f>IFERROR(AVERAGE(Data!B970), "  ")</f>
        <v>235</v>
      </c>
      <c r="C968" s="42">
        <f>IFERROR(AVERAGE(Data!C970), "  ")</f>
        <v>32</v>
      </c>
      <c r="D968" s="42">
        <f>IFERROR(AVERAGE(Data!D970), "  ")</f>
        <v>180</v>
      </c>
      <c r="E968" s="42">
        <f>IFERROR(AVERAGE(Data!E970), "  ")</f>
        <v>447</v>
      </c>
      <c r="F968" s="42">
        <f>IFERROR(AVERAGE(Data!F970), "  ")</f>
        <v>607</v>
      </c>
      <c r="G968" s="42">
        <f>IFERROR(AVERAGE(Data!G970), "  ")</f>
        <v>160</v>
      </c>
      <c r="H968" s="44">
        <f>IFERROR(AVERAGE(Data!H970), "  ")</f>
        <v>-6.4714946070878271E-2</v>
      </c>
      <c r="I968" s="44">
        <f>IFERROR(AVERAGE(Data!I970), "  ")</f>
        <v>-0.20744680851063829</v>
      </c>
      <c r="J968" s="42">
        <f>IFERROR(AVERAGE(Data!J970), "  ")</f>
        <v>-117</v>
      </c>
      <c r="K968" s="44">
        <f>IFERROR(AVERAGE(Data!K970), "  ")</f>
        <v>-0.13532763532763534</v>
      </c>
      <c r="L968" s="45">
        <f>IFERROR(AVERAGE(Data!L970), "  ")</f>
        <v>704</v>
      </c>
    </row>
    <row r="969" spans="1:12" x14ac:dyDescent="0.2">
      <c r="A969" s="43"/>
      <c r="B969" s="42">
        <f>IFERROR(AVERAGE(Data!B971), "  ")</f>
        <v>161</v>
      </c>
      <c r="C969" s="42">
        <f>IFERROR(AVERAGE(Data!C971), "  ")</f>
        <v>4</v>
      </c>
      <c r="D969" s="42">
        <f>IFERROR(AVERAGE(Data!D971), "  ")</f>
        <v>101</v>
      </c>
      <c r="E969" s="42">
        <f>IFERROR(AVERAGE(Data!E971), "  ")</f>
        <v>266</v>
      </c>
      <c r="F969" s="42">
        <f>IFERROR(AVERAGE(Data!F971), "  ")</f>
        <v>575</v>
      </c>
      <c r="G969" s="42">
        <f>IFERROR(AVERAGE(Data!G971), "  ")</f>
        <v>309</v>
      </c>
      <c r="H969" s="44">
        <f>IFERROR(AVERAGE(Data!H971), "  ")</f>
        <v>-5.2718286655683691E-2</v>
      </c>
      <c r="I969" s="44">
        <f>IFERROR(AVERAGE(Data!I971), "  ")</f>
        <v>-0.40492170022371365</v>
      </c>
      <c r="J969" s="42">
        <f>IFERROR(AVERAGE(Data!J971), "  ")</f>
        <v>-181</v>
      </c>
      <c r="K969" s="44">
        <f>IFERROR(AVERAGE(Data!K971), "  ")</f>
        <v>-3.0354131534569982E-2</v>
      </c>
      <c r="L969" s="45">
        <f>IFERROR(AVERAGE(Data!L971), "  ")</f>
        <v>693</v>
      </c>
    </row>
    <row r="970" spans="1:12" x14ac:dyDescent="0.2">
      <c r="A970" s="43"/>
      <c r="B970" s="42">
        <f>IFERROR(AVERAGE(Data!B972), "  ")</f>
        <v>187</v>
      </c>
      <c r="C970" s="42">
        <f>IFERROR(AVERAGE(Data!C972), "  ")</f>
        <v>28</v>
      </c>
      <c r="D970" s="42">
        <f>IFERROR(AVERAGE(Data!D972), "  ")</f>
        <v>123</v>
      </c>
      <c r="E970" s="42">
        <f>IFERROR(AVERAGE(Data!E972), "  ")</f>
        <v>338</v>
      </c>
      <c r="F970" s="42">
        <f>IFERROR(AVERAGE(Data!F972), "  ")</f>
        <v>535</v>
      </c>
      <c r="G970" s="42">
        <f>IFERROR(AVERAGE(Data!G972), "  ")</f>
        <v>197</v>
      </c>
      <c r="H970" s="44">
        <f>IFERROR(AVERAGE(Data!H972), "  ")</f>
        <v>-6.9565217391304349E-2</v>
      </c>
      <c r="I970" s="44">
        <f>IFERROR(AVERAGE(Data!I972), "  ")</f>
        <v>0.27067669172932329</v>
      </c>
      <c r="J970" s="42">
        <f>IFERROR(AVERAGE(Data!J972), "  ")</f>
        <v>72</v>
      </c>
      <c r="K970" s="44">
        <f>IFERROR(AVERAGE(Data!K972), "  ")</f>
        <v>-0.23242467718794835</v>
      </c>
      <c r="L970" s="45">
        <f>IFERROR(AVERAGE(Data!L972), "  ")</f>
        <v>690</v>
      </c>
    </row>
    <row r="971" spans="1:12" x14ac:dyDescent="0.2">
      <c r="A971" s="43"/>
      <c r="B971" s="42">
        <f>IFERROR(AVERAGE(Data!B973), "  ")</f>
        <v>179</v>
      </c>
      <c r="C971" s="42">
        <f>IFERROR(AVERAGE(Data!C973), "  ")</f>
        <v>7</v>
      </c>
      <c r="D971" s="42">
        <f>IFERROR(AVERAGE(Data!D973), "  ")</f>
        <v>128</v>
      </c>
      <c r="E971" s="42">
        <f>IFERROR(AVERAGE(Data!E973), "  ")</f>
        <v>314</v>
      </c>
      <c r="F971" s="42">
        <f>IFERROR(AVERAGE(Data!F973), "  ")</f>
        <v>542</v>
      </c>
      <c r="G971" s="42">
        <f>IFERROR(AVERAGE(Data!G973), "  ")</f>
        <v>228</v>
      </c>
      <c r="H971" s="44">
        <f>IFERROR(AVERAGE(Data!H973), "  ")</f>
        <v>1.3084112149532711E-2</v>
      </c>
      <c r="I971" s="44">
        <f>IFERROR(AVERAGE(Data!I973), "  ")</f>
        <v>-7.1005917159763315E-2</v>
      </c>
      <c r="J971" s="42">
        <f>IFERROR(AVERAGE(Data!J973), "  ")</f>
        <v>-24</v>
      </c>
      <c r="K971" s="44">
        <f>IFERROR(AVERAGE(Data!K973), "  ")</f>
        <v>-0.14913657770800628</v>
      </c>
      <c r="L971" s="45">
        <f>IFERROR(AVERAGE(Data!L973), "  ")</f>
        <v>699.66666666666663</v>
      </c>
    </row>
    <row r="972" spans="1:12" x14ac:dyDescent="0.2">
      <c r="A972" s="43"/>
      <c r="B972" s="42">
        <f>IFERROR(AVERAGE(Data!B974), "  ")</f>
        <v>198</v>
      </c>
      <c r="C972" s="42">
        <f>IFERROR(AVERAGE(Data!C974), "  ")</f>
        <v>9</v>
      </c>
      <c r="D972" s="42">
        <f>IFERROR(AVERAGE(Data!D974), "  ")</f>
        <v>101</v>
      </c>
      <c r="E972" s="42">
        <f>IFERROR(AVERAGE(Data!E974), "  ")</f>
        <v>308</v>
      </c>
      <c r="F972" s="42">
        <f>IFERROR(AVERAGE(Data!F974), "  ")</f>
        <v>549</v>
      </c>
      <c r="G972" s="42">
        <f>IFERROR(AVERAGE(Data!G974), "  ")</f>
        <v>241</v>
      </c>
      <c r="H972" s="44">
        <f>IFERROR(AVERAGE(Data!H974), "  ")</f>
        <v>1.2915129151291513E-2</v>
      </c>
      <c r="I972" s="44">
        <f>IFERROR(AVERAGE(Data!I974), "  ")</f>
        <v>-1.9108280254777069E-2</v>
      </c>
      <c r="J972" s="42">
        <f>IFERROR(AVERAGE(Data!J974), "  ")</f>
        <v>-6</v>
      </c>
      <c r="K972" s="44">
        <f>IFERROR(AVERAGE(Data!K974), "  ")</f>
        <v>-0.11736334405144695</v>
      </c>
      <c r="L972" s="45">
        <f>IFERROR(AVERAGE(Data!L974), "  ")</f>
        <v>703.66666666666663</v>
      </c>
    </row>
    <row r="973" spans="1:12" x14ac:dyDescent="0.2">
      <c r="A973" s="43"/>
      <c r="B973" s="42">
        <f>IFERROR(AVERAGE(Data!B975), "  ")</f>
        <v>174</v>
      </c>
      <c r="C973" s="42">
        <f>IFERROR(AVERAGE(Data!C975), "  ")</f>
        <v>6</v>
      </c>
      <c r="D973" s="42">
        <f>IFERROR(AVERAGE(Data!D975), "  ")</f>
        <v>89</v>
      </c>
      <c r="E973" s="42">
        <f>IFERROR(AVERAGE(Data!E975), "  ")</f>
        <v>269</v>
      </c>
      <c r="F973" s="42">
        <f>IFERROR(AVERAGE(Data!F975), "  ")</f>
        <v>463</v>
      </c>
      <c r="G973" s="42">
        <f>IFERROR(AVERAGE(Data!G975), "  ")</f>
        <v>194</v>
      </c>
      <c r="H973" s="44">
        <f>IFERROR(AVERAGE(Data!H975), "  ")</f>
        <v>-0.15664845173041894</v>
      </c>
      <c r="I973" s="44">
        <f>IFERROR(AVERAGE(Data!I975), "  ")</f>
        <v>-0.12662337662337661</v>
      </c>
      <c r="J973" s="42">
        <f>IFERROR(AVERAGE(Data!J975), "  ")</f>
        <v>-39</v>
      </c>
      <c r="K973" s="44">
        <f>IFERROR(AVERAGE(Data!K975), "  ")</f>
        <v>0.18112244897959184</v>
      </c>
      <c r="L973" s="45">
        <f>IFERROR(AVERAGE(Data!L975), "  ")</f>
        <v>583.66666666666663</v>
      </c>
    </row>
    <row r="974" spans="1:12" x14ac:dyDescent="0.2">
      <c r="A974" s="43"/>
      <c r="B974" s="42">
        <f>IFERROR(AVERAGE(Data!B976), "  ")</f>
        <v>171</v>
      </c>
      <c r="C974" s="42">
        <f>IFERROR(AVERAGE(Data!C976), "  ")</f>
        <v>0</v>
      </c>
      <c r="D974" s="42">
        <f>IFERROR(AVERAGE(Data!D976), "  ")</f>
        <v>155</v>
      </c>
      <c r="E974" s="42">
        <f>IFERROR(AVERAGE(Data!E976), "  ")</f>
        <v>326</v>
      </c>
      <c r="F974" s="42">
        <f>IFERROR(AVERAGE(Data!F976), "  ")</f>
        <v>594</v>
      </c>
      <c r="G974" s="42">
        <f>IFERROR(AVERAGE(Data!G976), "  ")</f>
        <v>268</v>
      </c>
      <c r="H974" s="44">
        <f>IFERROR(AVERAGE(Data!H976), "  ")</f>
        <v>0.28293736501079914</v>
      </c>
      <c r="I974" s="44">
        <f>IFERROR(AVERAGE(Data!I976), "  ")</f>
        <v>0.21189591078066913</v>
      </c>
      <c r="J974" s="42">
        <f>IFERROR(AVERAGE(Data!J976), "  ")</f>
        <v>57</v>
      </c>
      <c r="K974" s="44">
        <f>IFERROR(AVERAGE(Data!K976), "  ")</f>
        <v>0.12713472485768501</v>
      </c>
      <c r="L974" s="45">
        <f>IFERROR(AVERAGE(Data!L976), "  ")</f>
        <v>671.33333333333337</v>
      </c>
    </row>
    <row r="975" spans="1:12" x14ac:dyDescent="0.2">
      <c r="A975" s="43"/>
      <c r="B975" s="42">
        <f>IFERROR(AVERAGE(Data!B977), "  ")</f>
        <v>274</v>
      </c>
      <c r="C975" s="42">
        <f>IFERROR(AVERAGE(Data!C977), "  ")</f>
        <v>0</v>
      </c>
      <c r="D975" s="42">
        <f>IFERROR(AVERAGE(Data!D977), "  ")</f>
        <v>184</v>
      </c>
      <c r="E975" s="42">
        <f>IFERROR(AVERAGE(Data!E977), "  ")</f>
        <v>458</v>
      </c>
      <c r="F975" s="42">
        <f>IFERROR(AVERAGE(Data!F977), "  ")</f>
        <v>276</v>
      </c>
      <c r="G975" s="42">
        <f>IFERROR(AVERAGE(Data!G977), "  ")</f>
        <v>-182</v>
      </c>
      <c r="H975" s="44">
        <f>IFERROR(AVERAGE(Data!H977), "  ")</f>
        <v>-0.53535353535353536</v>
      </c>
      <c r="I975" s="44">
        <f>IFERROR(AVERAGE(Data!I977), "  ")</f>
        <v>0.40490797546012269</v>
      </c>
      <c r="J975" s="42">
        <f>IFERROR(AVERAGE(Data!J977), "  ")</f>
        <v>132</v>
      </c>
      <c r="K975" s="44">
        <f>IFERROR(AVERAGE(Data!K977), "  ")</f>
        <v>-0.51493848857644986</v>
      </c>
      <c r="L975" s="45">
        <f>IFERROR(AVERAGE(Data!L977), "  ")</f>
        <v>685.66666666666663</v>
      </c>
    </row>
    <row r="976" spans="1:12" x14ac:dyDescent="0.2">
      <c r="A976" s="43"/>
      <c r="B976" s="42">
        <f>IFERROR(AVERAGE(Data!B978), "  ")</f>
        <v>208</v>
      </c>
      <c r="C976" s="42">
        <f>IFERROR(AVERAGE(Data!C978), "  ")</f>
        <v>20</v>
      </c>
      <c r="D976" s="42">
        <f>IFERROR(AVERAGE(Data!D978), "  ")</f>
        <v>161</v>
      </c>
      <c r="E976" s="42">
        <f>IFERROR(AVERAGE(Data!E978), "  ")</f>
        <v>389</v>
      </c>
      <c r="F976" s="42">
        <f>IFERROR(AVERAGE(Data!F978), "  ")</f>
        <v>479</v>
      </c>
      <c r="G976" s="42">
        <f>IFERROR(AVERAGE(Data!G978), "  ")</f>
        <v>90</v>
      </c>
      <c r="H976" s="44">
        <f>IFERROR(AVERAGE(Data!H978), "  ")</f>
        <v>0.73550724637681164</v>
      </c>
      <c r="I976" s="44">
        <f>IFERROR(AVERAGE(Data!I978), "  ")</f>
        <v>-0.15065502183406113</v>
      </c>
      <c r="J976" s="42">
        <f>IFERROR(AVERAGE(Data!J978), "  ")</f>
        <v>-69</v>
      </c>
      <c r="K976" s="44">
        <f>IFERROR(AVERAGE(Data!K978), "  ")</f>
        <v>-0.20299500831946754</v>
      </c>
      <c r="L976" s="45">
        <f>IFERROR(AVERAGE(Data!L978), "  ")</f>
        <v>617.66666666666663</v>
      </c>
    </row>
    <row r="977" spans="1:12" x14ac:dyDescent="0.2">
      <c r="A977" s="43"/>
      <c r="B977" s="42">
        <f>IFERROR(AVERAGE(Data!B979), "  ")</f>
        <v>264</v>
      </c>
      <c r="C977" s="42">
        <f>IFERROR(AVERAGE(Data!C979), "  ")</f>
        <v>11</v>
      </c>
      <c r="D977" s="42">
        <f>IFERROR(AVERAGE(Data!D979), "  ")</f>
        <v>114</v>
      </c>
      <c r="E977" s="42">
        <f>IFERROR(AVERAGE(Data!E979), "  ")</f>
        <v>389</v>
      </c>
      <c r="F977" s="42">
        <f>IFERROR(AVERAGE(Data!F979), "  ")</f>
        <v>564</v>
      </c>
      <c r="G977" s="42">
        <f>IFERROR(AVERAGE(Data!G979), "  ")</f>
        <v>175</v>
      </c>
      <c r="H977" s="44">
        <f>IFERROR(AVERAGE(Data!H979), "  ")</f>
        <v>0.17745302713987474</v>
      </c>
      <c r="I977" s="44">
        <f>IFERROR(AVERAGE(Data!I979), "  ")</f>
        <v>0</v>
      </c>
      <c r="J977" s="42">
        <f>IFERROR(AVERAGE(Data!J979), "  ")</f>
        <v>0</v>
      </c>
      <c r="K977" s="44">
        <f>IFERROR(AVERAGE(Data!K979), "  ")</f>
        <v>0.1440162271805274</v>
      </c>
      <c r="L977" s="45">
        <f>IFERROR(AVERAGE(Data!L979), "  ")</f>
        <v>552</v>
      </c>
    </row>
    <row r="978" spans="1:12" x14ac:dyDescent="0.2">
      <c r="A978" s="43"/>
      <c r="B978" s="42">
        <f>IFERROR(AVERAGE(Data!B980), "  ")</f>
        <v>162</v>
      </c>
      <c r="C978" s="42">
        <f>IFERROR(AVERAGE(Data!C980), "  ")</f>
        <v>1</v>
      </c>
      <c r="D978" s="42">
        <f>IFERROR(AVERAGE(Data!D980), "  ")</f>
        <v>67</v>
      </c>
      <c r="E978" s="42">
        <f>IFERROR(AVERAGE(Data!E980), "  ")</f>
        <v>230</v>
      </c>
      <c r="F978" s="42">
        <f>IFERROR(AVERAGE(Data!F980), "  ")</f>
        <v>498</v>
      </c>
      <c r="G978" s="42">
        <f>IFERROR(AVERAGE(Data!G980), "  ")</f>
        <v>268</v>
      </c>
      <c r="H978" s="44">
        <f>IFERROR(AVERAGE(Data!H980), "  ")</f>
        <v>-0.11702127659574468</v>
      </c>
      <c r="I978" s="44">
        <f>IFERROR(AVERAGE(Data!I980), "  ")</f>
        <v>-0.40874035989717222</v>
      </c>
      <c r="J978" s="42">
        <f>IFERROR(AVERAGE(Data!J980), "  ")</f>
        <v>-159</v>
      </c>
      <c r="K978" s="44">
        <f>IFERROR(AVERAGE(Data!K980), "  ")</f>
        <v>-1.5810276679841896E-2</v>
      </c>
      <c r="L978" s="45">
        <f>IFERROR(AVERAGE(Data!L980), "  ")</f>
        <v>642</v>
      </c>
    </row>
    <row r="979" spans="1:12" x14ac:dyDescent="0.2">
      <c r="A979" s="43"/>
      <c r="B979" s="42">
        <f>IFERROR(AVERAGE(Data!B981), "  ")</f>
        <v>225</v>
      </c>
      <c r="C979" s="42">
        <f>IFERROR(AVERAGE(Data!C981), "  ")</f>
        <v>10</v>
      </c>
      <c r="D979" s="42">
        <f>IFERROR(AVERAGE(Data!D981), "  ")</f>
        <v>83</v>
      </c>
      <c r="E979" s="42">
        <f>IFERROR(AVERAGE(Data!E981), "  ")</f>
        <v>318</v>
      </c>
      <c r="F979" s="42">
        <f>IFERROR(AVERAGE(Data!F981), "  ")</f>
        <v>597</v>
      </c>
      <c r="G979" s="42">
        <f>IFERROR(AVERAGE(Data!G981), "  ")</f>
        <v>279</v>
      </c>
      <c r="H979" s="44">
        <f>IFERROR(AVERAGE(Data!H981), "  ")</f>
        <v>0.19879518072289157</v>
      </c>
      <c r="I979" s="44">
        <f>IFERROR(AVERAGE(Data!I981), "  ")</f>
        <v>0.38260869565217392</v>
      </c>
      <c r="J979" s="42">
        <f>IFERROR(AVERAGE(Data!J981), "  ")</f>
        <v>88</v>
      </c>
      <c r="K979" s="44">
        <f>IFERROR(AVERAGE(Data!K981), "  ")</f>
        <v>0.30634573304157547</v>
      </c>
      <c r="L979" s="45">
        <f>IFERROR(AVERAGE(Data!L981), "  ")</f>
        <v>529</v>
      </c>
    </row>
    <row r="980" spans="1:12" x14ac:dyDescent="0.2">
      <c r="A980" s="43"/>
      <c r="B980" s="42">
        <f>IFERROR(AVERAGE(Data!B982), "  ")</f>
        <v>169</v>
      </c>
      <c r="C980" s="42">
        <f>IFERROR(AVERAGE(Data!C982), "  ")</f>
        <v>26</v>
      </c>
      <c r="D980" s="42">
        <f>IFERROR(AVERAGE(Data!D982), "  ")</f>
        <v>125</v>
      </c>
      <c r="E980" s="42">
        <f>IFERROR(AVERAGE(Data!E982), "  ")</f>
        <v>320</v>
      </c>
      <c r="F980" s="42">
        <f>IFERROR(AVERAGE(Data!F982), "  ")</f>
        <v>306</v>
      </c>
      <c r="G980" s="42">
        <f>IFERROR(AVERAGE(Data!G982), "  ")</f>
        <v>-14</v>
      </c>
      <c r="H980" s="44">
        <f>IFERROR(AVERAGE(Data!H982), "  ")</f>
        <v>-0.48743718592964824</v>
      </c>
      <c r="I980" s="44">
        <f>IFERROR(AVERAGE(Data!I982), "  ")</f>
        <v>6.2893081761006293E-3</v>
      </c>
      <c r="J980" s="42">
        <f>IFERROR(AVERAGE(Data!J982), "  ")</f>
        <v>2</v>
      </c>
      <c r="K980" s="44">
        <f>IFERROR(AVERAGE(Data!K982), "  ")</f>
        <v>-9.7087378640776691E-3</v>
      </c>
      <c r="L980" s="45">
        <f>IFERROR(AVERAGE(Data!L982), "  ")</f>
        <v>398.66666666666669</v>
      </c>
    </row>
    <row r="981" spans="1:12" x14ac:dyDescent="0.2">
      <c r="A981" s="43"/>
      <c r="B981" s="42">
        <f>IFERROR(AVERAGE(Data!B983), "  ")</f>
        <v>248</v>
      </c>
      <c r="C981" s="42">
        <f>IFERROR(AVERAGE(Data!C983), "  ")</f>
        <v>34</v>
      </c>
      <c r="D981" s="42">
        <f>IFERROR(AVERAGE(Data!D983), "  ")</f>
        <v>81</v>
      </c>
      <c r="E981" s="42">
        <f>IFERROR(AVERAGE(Data!E983), "  ")</f>
        <v>363</v>
      </c>
      <c r="F981" s="42">
        <f>IFERROR(AVERAGE(Data!F983), "  ")</f>
        <v>336</v>
      </c>
      <c r="G981" s="42">
        <f>IFERROR(AVERAGE(Data!G983), "  ")</f>
        <v>-27</v>
      </c>
      <c r="H981" s="44">
        <f>IFERROR(AVERAGE(Data!H983), "  ")</f>
        <v>9.8039215686274508E-2</v>
      </c>
      <c r="I981" s="44">
        <f>IFERROR(AVERAGE(Data!I983), "  ")</f>
        <v>0.13437499999999999</v>
      </c>
      <c r="J981" s="42">
        <f>IFERROR(AVERAGE(Data!J983), "  ")</f>
        <v>43</v>
      </c>
      <c r="K981" s="44">
        <f>IFERROR(AVERAGE(Data!K983), "  ")</f>
        <v>-0.22222222222222221</v>
      </c>
      <c r="L981" s="45">
        <f>IFERROR(AVERAGE(Data!L983), "  ")</f>
        <v>462.66666666666669</v>
      </c>
    </row>
    <row r="982" spans="1:12" x14ac:dyDescent="0.2">
      <c r="A982" s="43"/>
      <c r="B982" s="42">
        <f>IFERROR(AVERAGE(Data!B984), "  ")</f>
        <v>187</v>
      </c>
      <c r="C982" s="42">
        <f>IFERROR(AVERAGE(Data!C984), "  ")</f>
        <v>24</v>
      </c>
      <c r="D982" s="42">
        <f>IFERROR(AVERAGE(Data!D984), "  ")</f>
        <v>64</v>
      </c>
      <c r="E982" s="42">
        <f>IFERROR(AVERAGE(Data!E984), "  ")</f>
        <v>275</v>
      </c>
      <c r="F982" s="42">
        <f>IFERROR(AVERAGE(Data!F984), "  ")</f>
        <v>447</v>
      </c>
      <c r="G982" s="42">
        <f>IFERROR(AVERAGE(Data!G984), "  ")</f>
        <v>172</v>
      </c>
      <c r="H982" s="44">
        <f>IFERROR(AVERAGE(Data!H984), "  ")</f>
        <v>0.33035714285714285</v>
      </c>
      <c r="I982" s="44">
        <f>IFERROR(AVERAGE(Data!I984), "  ")</f>
        <v>-0.24242424242424243</v>
      </c>
      <c r="J982" s="42">
        <f>IFERROR(AVERAGE(Data!J984), "  ")</f>
        <v>-88</v>
      </c>
      <c r="K982" s="44">
        <f>IFERROR(AVERAGE(Data!K984), "  ")</f>
        <v>0.18882978723404256</v>
      </c>
      <c r="L982" s="45">
        <f>IFERROR(AVERAGE(Data!L984), "  ")</f>
        <v>497.66666666666669</v>
      </c>
    </row>
    <row r="983" spans="1:12" x14ac:dyDescent="0.2">
      <c r="A983" s="43"/>
      <c r="B983" s="42">
        <f>IFERROR(AVERAGE(Data!B985), "  ")</f>
        <v>67</v>
      </c>
      <c r="C983" s="42">
        <f>IFERROR(AVERAGE(Data!C985), "  ")</f>
        <v>14</v>
      </c>
      <c r="D983" s="42">
        <f>IFERROR(AVERAGE(Data!D985), "  ")</f>
        <v>104</v>
      </c>
      <c r="E983" s="42">
        <f>IFERROR(AVERAGE(Data!E985), "  ")</f>
        <v>185</v>
      </c>
      <c r="F983" s="42">
        <f>IFERROR(AVERAGE(Data!F985), "  ")</f>
        <v>513</v>
      </c>
      <c r="G983" s="42">
        <f>IFERROR(AVERAGE(Data!G985), "  ")</f>
        <v>328</v>
      </c>
      <c r="H983" s="44">
        <f>IFERROR(AVERAGE(Data!H985), "  ")</f>
        <v>0.1476510067114094</v>
      </c>
      <c r="I983" s="44">
        <f>IFERROR(AVERAGE(Data!I985), "  ")</f>
        <v>-0.32727272727272727</v>
      </c>
      <c r="J983" s="42">
        <f>IFERROR(AVERAGE(Data!J985), "  ")</f>
        <v>-90</v>
      </c>
      <c r="K983" s="44">
        <f>IFERROR(AVERAGE(Data!K985), "  ")</f>
        <v>0.49562682215743442</v>
      </c>
      <c r="L983" s="45">
        <f>IFERROR(AVERAGE(Data!L985), "  ")</f>
        <v>491.33333333333331</v>
      </c>
    </row>
    <row r="984" spans="1:12" x14ac:dyDescent="0.2">
      <c r="A984" s="43"/>
      <c r="B984" s="42">
        <f>IFERROR(AVERAGE(Data!B986), "  ")</f>
        <v>83</v>
      </c>
      <c r="C984" s="42">
        <f>IFERROR(AVERAGE(Data!C986), "  ")</f>
        <v>22</v>
      </c>
      <c r="D984" s="42">
        <f>IFERROR(AVERAGE(Data!D986), "  ")</f>
        <v>120</v>
      </c>
      <c r="E984" s="42">
        <f>IFERROR(AVERAGE(Data!E986), "  ")</f>
        <v>225</v>
      </c>
      <c r="F984" s="42">
        <f>IFERROR(AVERAGE(Data!F986), "  ")</f>
        <v>401</v>
      </c>
      <c r="G984" s="42">
        <f>IFERROR(AVERAGE(Data!G986), "  ")</f>
        <v>176</v>
      </c>
      <c r="H984" s="44">
        <f>IFERROR(AVERAGE(Data!H986), "  ")</f>
        <v>-0.21832358674463936</v>
      </c>
      <c r="I984" s="44">
        <f>IFERROR(AVERAGE(Data!I986), "  ")</f>
        <v>0.21621621621621623</v>
      </c>
      <c r="J984" s="42">
        <f>IFERROR(AVERAGE(Data!J986), "  ")</f>
        <v>40</v>
      </c>
      <c r="K984" s="44">
        <f>IFERROR(AVERAGE(Data!K986), "  ")</f>
        <v>-0.14680851063829786</v>
      </c>
      <c r="L984" s="45">
        <f>IFERROR(AVERAGE(Data!L986), "  ")</f>
        <v>560.33333333333337</v>
      </c>
    </row>
    <row r="985" spans="1:12" x14ac:dyDescent="0.2">
      <c r="A985" s="43"/>
      <c r="B985" s="42">
        <f>IFERROR(AVERAGE(Data!B987), "  ")</f>
        <v>243</v>
      </c>
      <c r="C985" s="42">
        <f>IFERROR(AVERAGE(Data!C987), "  ")</f>
        <v>18</v>
      </c>
      <c r="D985" s="42">
        <f>IFERROR(AVERAGE(Data!D987), "  ")</f>
        <v>163</v>
      </c>
      <c r="E985" s="42">
        <f>IFERROR(AVERAGE(Data!E987), "  ")</f>
        <v>424</v>
      </c>
      <c r="F985" s="42">
        <f>IFERROR(AVERAGE(Data!F987), "  ")</f>
        <v>472</v>
      </c>
      <c r="G985" s="42">
        <f>IFERROR(AVERAGE(Data!G987), "  ")</f>
        <v>48</v>
      </c>
      <c r="H985" s="44">
        <f>IFERROR(AVERAGE(Data!H987), "  ")</f>
        <v>0.17705735660847879</v>
      </c>
      <c r="I985" s="44">
        <f>IFERROR(AVERAGE(Data!I987), "  ")</f>
        <v>0.88444444444444448</v>
      </c>
      <c r="J985" s="42">
        <f>IFERROR(AVERAGE(Data!J987), "  ")</f>
        <v>199</v>
      </c>
      <c r="K985" s="44">
        <f>IFERROR(AVERAGE(Data!K987), "  ")</f>
        <v>5.3571428571428568E-2</v>
      </c>
      <c r="L985" s="45">
        <f>IFERROR(AVERAGE(Data!L987), "  ")</f>
        <v>616</v>
      </c>
    </row>
    <row r="986" spans="1:12" x14ac:dyDescent="0.2">
      <c r="A986" s="43"/>
      <c r="B986" s="42">
        <f>IFERROR(AVERAGE(Data!B988), "  ")</f>
        <v>270</v>
      </c>
      <c r="C986" s="42">
        <f>IFERROR(AVERAGE(Data!C988), "  ")</f>
        <v>14</v>
      </c>
      <c r="D986" s="42">
        <f>IFERROR(AVERAGE(Data!D988), "  ")</f>
        <v>105</v>
      </c>
      <c r="E986" s="42">
        <f>IFERROR(AVERAGE(Data!E988), "  ")</f>
        <v>389</v>
      </c>
      <c r="F986" s="42">
        <f>IFERROR(AVERAGE(Data!F988), "  ")</f>
        <v>593</v>
      </c>
      <c r="G986" s="42">
        <f>IFERROR(AVERAGE(Data!G988), "  ")</f>
        <v>204</v>
      </c>
      <c r="H986" s="44">
        <f>IFERROR(AVERAGE(Data!H988), "  ")</f>
        <v>0.25635593220338981</v>
      </c>
      <c r="I986" s="44">
        <f>IFERROR(AVERAGE(Data!I988), "  ")</f>
        <v>-8.254716981132075E-2</v>
      </c>
      <c r="J986" s="42">
        <f>IFERROR(AVERAGE(Data!J988), "  ")</f>
        <v>-35</v>
      </c>
      <c r="K986" s="44">
        <f>IFERROR(AVERAGE(Data!K988), "  ")</f>
        <v>0.19315895372233399</v>
      </c>
      <c r="L986" s="45">
        <f>IFERROR(AVERAGE(Data!L988), "  ")</f>
        <v>586</v>
      </c>
    </row>
    <row r="987" spans="1:12" x14ac:dyDescent="0.2">
      <c r="A987" s="43"/>
      <c r="B987" s="42">
        <f>IFERROR(AVERAGE(Data!B989), "  ")</f>
        <v>362</v>
      </c>
      <c r="C987" s="42">
        <f>IFERROR(AVERAGE(Data!C989), "  ")</f>
        <v>14</v>
      </c>
      <c r="D987" s="42">
        <f>IFERROR(AVERAGE(Data!D989), "  ")</f>
        <v>125</v>
      </c>
      <c r="E987" s="42">
        <f>IFERROR(AVERAGE(Data!E989), "  ")</f>
        <v>501</v>
      </c>
      <c r="F987" s="42">
        <f>IFERROR(AVERAGE(Data!F989), "  ")</f>
        <v>595</v>
      </c>
      <c r="G987" s="42">
        <f>IFERROR(AVERAGE(Data!G989), "  ")</f>
        <v>94</v>
      </c>
      <c r="H987" s="44">
        <f>IFERROR(AVERAGE(Data!H989), "  ")</f>
        <v>3.3726812816188868E-3</v>
      </c>
      <c r="I987" s="44">
        <f>IFERROR(AVERAGE(Data!I989), "  ")</f>
        <v>0.2879177377892031</v>
      </c>
      <c r="J987" s="42">
        <f>IFERROR(AVERAGE(Data!J989), "  ")</f>
        <v>112</v>
      </c>
      <c r="K987" s="44">
        <f>IFERROR(AVERAGE(Data!K989), "  ")</f>
        <v>0.39344262295081966</v>
      </c>
      <c r="L987" s="45">
        <f>IFERROR(AVERAGE(Data!L989), "  ")</f>
        <v>470.66666666666669</v>
      </c>
    </row>
    <row r="988" spans="1:12" x14ac:dyDescent="0.2">
      <c r="A988" s="43"/>
      <c r="B988" s="42">
        <f>IFERROR(AVERAGE(Data!B990), "  ")</f>
        <v>287</v>
      </c>
      <c r="C988" s="42">
        <f>IFERROR(AVERAGE(Data!C990), "  ")</f>
        <v>24</v>
      </c>
      <c r="D988" s="42">
        <f>IFERROR(AVERAGE(Data!D990), "  ")</f>
        <v>139</v>
      </c>
      <c r="E988" s="42">
        <f>IFERROR(AVERAGE(Data!E990), "  ")</f>
        <v>450</v>
      </c>
      <c r="F988" s="42">
        <f>IFERROR(AVERAGE(Data!F990), "  ")</f>
        <v>412</v>
      </c>
      <c r="G988" s="42">
        <f>IFERROR(AVERAGE(Data!G990), "  ")</f>
        <v>-38</v>
      </c>
      <c r="H988" s="44">
        <f>IFERROR(AVERAGE(Data!H990), "  ")</f>
        <v>-0.30756302521008405</v>
      </c>
      <c r="I988" s="44">
        <f>IFERROR(AVERAGE(Data!I990), "  ")</f>
        <v>-0.10179640718562874</v>
      </c>
      <c r="J988" s="42">
        <f>IFERROR(AVERAGE(Data!J990), "  ")</f>
        <v>-51</v>
      </c>
      <c r="K988" s="44">
        <f>IFERROR(AVERAGE(Data!K990), "  ")</f>
        <v>-2.3696682464454975E-2</v>
      </c>
      <c r="L988" s="45">
        <f>IFERROR(AVERAGE(Data!L990), "  ")</f>
        <v>519.33333333333337</v>
      </c>
    </row>
    <row r="989" spans="1:12" x14ac:dyDescent="0.2">
      <c r="A989" s="43"/>
      <c r="B989" s="42">
        <f>IFERROR(AVERAGE(Data!B991), "  ")</f>
        <v>250</v>
      </c>
      <c r="C989" s="42">
        <f>IFERROR(AVERAGE(Data!C991), "  ")</f>
        <v>24</v>
      </c>
      <c r="D989" s="42">
        <f>IFERROR(AVERAGE(Data!D991), "  ")</f>
        <v>110</v>
      </c>
      <c r="E989" s="42">
        <f>IFERROR(AVERAGE(Data!E991), "  ")</f>
        <v>384</v>
      </c>
      <c r="F989" s="42">
        <f>IFERROR(AVERAGE(Data!F991), "  ")</f>
        <v>518</v>
      </c>
      <c r="G989" s="42">
        <f>IFERROR(AVERAGE(Data!G991), "  ")</f>
        <v>134</v>
      </c>
      <c r="H989" s="44">
        <f>IFERROR(AVERAGE(Data!H991), "  ")</f>
        <v>0.25728155339805825</v>
      </c>
      <c r="I989" s="44">
        <f>IFERROR(AVERAGE(Data!I991), "  ")</f>
        <v>-0.14666666666666667</v>
      </c>
      <c r="J989" s="42">
        <f>IFERROR(AVERAGE(Data!J991), "  ")</f>
        <v>-66</v>
      </c>
      <c r="K989" s="44">
        <f>IFERROR(AVERAGE(Data!K991), "  ")</f>
        <v>0.30150753768844218</v>
      </c>
      <c r="L989" s="45" t="str">
        <f>IFERROR(AVERAGE(Data!L991), "  ")</f>
        <v xml:space="preserve">  </v>
      </c>
    </row>
    <row r="990" spans="1:12" x14ac:dyDescent="0.2">
      <c r="A990" s="43"/>
      <c r="B990" s="42">
        <f>IFERROR(AVERAGE(Data!B992), "  ")</f>
        <v>200</v>
      </c>
      <c r="C990" s="42">
        <f>IFERROR(AVERAGE(Data!C992), "  ")</f>
        <v>14</v>
      </c>
      <c r="D990" s="42">
        <f>IFERROR(AVERAGE(Data!D992), "  ")</f>
        <v>143</v>
      </c>
      <c r="E990" s="42">
        <f>IFERROR(AVERAGE(Data!E992), "  ")</f>
        <v>357</v>
      </c>
      <c r="F990" s="42">
        <f>IFERROR(AVERAGE(Data!F992), "  ")</f>
        <v>579</v>
      </c>
      <c r="G990" s="42">
        <f>IFERROR(AVERAGE(Data!G992), "  ")</f>
        <v>222</v>
      </c>
      <c r="H990" s="44">
        <f>IFERROR(AVERAGE(Data!H992), "  ")</f>
        <v>0.11776061776061776</v>
      </c>
      <c r="I990" s="44">
        <f>IFERROR(AVERAGE(Data!I992), "  ")</f>
        <v>-7.03125E-2</v>
      </c>
      <c r="J990" s="42">
        <f>IFERROR(AVERAGE(Data!J992), "  ")</f>
        <v>-27</v>
      </c>
      <c r="K990" s="44">
        <f>IFERROR(AVERAGE(Data!K992), "  ")</f>
        <v>0.2725274725274725</v>
      </c>
      <c r="L990" s="45" t="str">
        <f>IFERROR(AVERAGE(Data!L992), "  ")</f>
        <v xml:space="preserve">  </v>
      </c>
    </row>
    <row r="991" spans="1:12" x14ac:dyDescent="0.2">
      <c r="A991" s="43"/>
      <c r="B991" s="42">
        <f>IFERROR(AVERAGE(Data!B993), "  ")</f>
        <v>188</v>
      </c>
      <c r="C991" s="42">
        <f>IFERROR(AVERAGE(Data!C993), "  ")</f>
        <v>12</v>
      </c>
      <c r="D991" s="42">
        <f>IFERROR(AVERAGE(Data!D993), "  ")</f>
        <v>66</v>
      </c>
      <c r="E991" s="42">
        <f>IFERROR(AVERAGE(Data!E993), "  ")</f>
        <v>266</v>
      </c>
      <c r="F991" s="42">
        <f>IFERROR(AVERAGE(Data!F993), "  ")</f>
        <v>464</v>
      </c>
      <c r="G991" s="42">
        <f>IFERROR(AVERAGE(Data!G993), "  ")</f>
        <v>198</v>
      </c>
      <c r="H991" s="44">
        <f>IFERROR(AVERAGE(Data!H993), "  ")</f>
        <v>-0.19861830742659758</v>
      </c>
      <c r="I991" s="44">
        <f>IFERROR(AVERAGE(Data!I993), "  ")</f>
        <v>-0.25490196078431371</v>
      </c>
      <c r="J991" s="42">
        <f>IFERROR(AVERAGE(Data!J993), "  ")</f>
        <v>-91</v>
      </c>
      <c r="K991" s="44">
        <f>IFERROR(AVERAGE(Data!K993), "  ")</f>
        <v>-0.12121212121212122</v>
      </c>
      <c r="L991" s="45" t="str">
        <f>IFERROR(AVERAGE(Data!L993), "  ")</f>
        <v xml:space="preserve">  </v>
      </c>
    </row>
    <row r="992" spans="1:12" x14ac:dyDescent="0.2">
      <c r="A992" s="43"/>
      <c r="B992" s="42">
        <f>IFERROR(AVERAGE(Data!B994), "  ")</f>
        <v>100</v>
      </c>
      <c r="C992" s="42">
        <f>IFERROR(AVERAGE(Data!C994), "  ")</f>
        <v>25</v>
      </c>
      <c r="D992" s="42">
        <f>IFERROR(AVERAGE(Data!D994), "  ")</f>
        <v>110</v>
      </c>
      <c r="E992" s="42">
        <f>IFERROR(AVERAGE(Data!E994), "  ")</f>
        <v>235</v>
      </c>
      <c r="F992" s="42">
        <f>IFERROR(AVERAGE(Data!F994), "  ")</f>
        <v>379</v>
      </c>
      <c r="G992" s="42">
        <f>IFERROR(AVERAGE(Data!G994), "  ")</f>
        <v>144</v>
      </c>
      <c r="H992" s="44">
        <f>IFERROR(AVERAGE(Data!H994), "  ")</f>
        <v>-0.18318965517241378</v>
      </c>
      <c r="I992" s="44">
        <f>IFERROR(AVERAGE(Data!I994), "  ")</f>
        <v>-0.11654135338345864</v>
      </c>
      <c r="J992" s="42">
        <f>IFERROR(AVERAGE(Data!J994), "  ")</f>
        <v>-31</v>
      </c>
      <c r="K992" s="44">
        <f>IFERROR(AVERAGE(Data!K994), "  ")</f>
        <v>-0.26550387596899228</v>
      </c>
      <c r="L992" s="45">
        <f>IFERROR(AVERAGE(Data!L994), "  ")</f>
        <v>451.66666666666669</v>
      </c>
    </row>
    <row r="993" spans="1:12" x14ac:dyDescent="0.2">
      <c r="A993" s="43"/>
      <c r="B993" s="42">
        <f>IFERROR(AVERAGE(Data!B995), "  ")</f>
        <v>147</v>
      </c>
      <c r="C993" s="42">
        <f>IFERROR(AVERAGE(Data!C995), "  ")</f>
        <v>18</v>
      </c>
      <c r="D993" s="42">
        <f>IFERROR(AVERAGE(Data!D995), "  ")</f>
        <v>147</v>
      </c>
      <c r="E993" s="42">
        <f>IFERROR(AVERAGE(Data!E995), "  ")</f>
        <v>312</v>
      </c>
      <c r="F993" s="42">
        <f>IFERROR(AVERAGE(Data!F995), "  ")</f>
        <v>712</v>
      </c>
      <c r="G993" s="42">
        <f>IFERROR(AVERAGE(Data!G995), "  ")</f>
        <v>400</v>
      </c>
      <c r="H993" s="44">
        <f>IFERROR(AVERAGE(Data!H995), "  ")</f>
        <v>0.87862796833773082</v>
      </c>
      <c r="I993" s="44">
        <f>IFERROR(AVERAGE(Data!I995), "  ")</f>
        <v>0.32765957446808508</v>
      </c>
      <c r="J993" s="42">
        <f>IFERROR(AVERAGE(Data!J995), "  ")</f>
        <v>77</v>
      </c>
      <c r="K993" s="44">
        <f>IFERROR(AVERAGE(Data!K995), "  ")</f>
        <v>0.23826086956521739</v>
      </c>
      <c r="L993" s="45">
        <f>IFERROR(AVERAGE(Data!L995), "  ")</f>
        <v>485</v>
      </c>
    </row>
    <row r="994" spans="1:12" x14ac:dyDescent="0.2">
      <c r="A994" s="43"/>
      <c r="B994" s="42">
        <f>IFERROR(AVERAGE(Data!B996), "  ")</f>
        <v>103</v>
      </c>
      <c r="C994" s="42">
        <f>IFERROR(AVERAGE(Data!C996), "  ")</f>
        <v>23</v>
      </c>
      <c r="D994" s="42">
        <f>IFERROR(AVERAGE(Data!D996), "  ")</f>
        <v>114</v>
      </c>
      <c r="E994" s="42">
        <f>IFERROR(AVERAGE(Data!E996), "  ")</f>
        <v>240</v>
      </c>
      <c r="F994" s="42">
        <f>IFERROR(AVERAGE(Data!F996), "  ")</f>
        <v>846</v>
      </c>
      <c r="G994" s="42">
        <f>IFERROR(AVERAGE(Data!G996), "  ")</f>
        <v>606</v>
      </c>
      <c r="H994" s="44">
        <f>IFERROR(AVERAGE(Data!H996), "  ")</f>
        <v>0.18820224719101122</v>
      </c>
      <c r="I994" s="44">
        <f>IFERROR(AVERAGE(Data!I996), "  ")</f>
        <v>-0.23076923076923078</v>
      </c>
      <c r="J994" s="42">
        <f>IFERROR(AVERAGE(Data!J996), "  ")</f>
        <v>-72</v>
      </c>
      <c r="K994" s="44">
        <f>IFERROR(AVERAGE(Data!K996), "  ")</f>
        <v>0.17827298050139276</v>
      </c>
      <c r="L994" s="45">
        <f>IFERROR(AVERAGE(Data!L996), "  ")</f>
        <v>643.66666666666663</v>
      </c>
    </row>
    <row r="995" spans="1:12" x14ac:dyDescent="0.2">
      <c r="A995" s="43"/>
      <c r="B995" s="42">
        <f>IFERROR(AVERAGE(Data!B997), "  ")</f>
        <v>139</v>
      </c>
      <c r="C995" s="42">
        <f>IFERROR(AVERAGE(Data!C997), "  ")</f>
        <v>23</v>
      </c>
      <c r="D995" s="42">
        <f>IFERROR(AVERAGE(Data!D997), "  ")</f>
        <v>84</v>
      </c>
      <c r="E995" s="42">
        <f>IFERROR(AVERAGE(Data!E997), "  ")</f>
        <v>246</v>
      </c>
      <c r="F995" s="42">
        <f>IFERROR(AVERAGE(Data!F997), "  ")</f>
        <v>759</v>
      </c>
      <c r="G995" s="42">
        <f>IFERROR(AVERAGE(Data!G997), "  ")</f>
        <v>513</v>
      </c>
      <c r="H995" s="44">
        <f>IFERROR(AVERAGE(Data!H997), "  ")</f>
        <v>-0.10283687943262411</v>
      </c>
      <c r="I995" s="44">
        <f>IFERROR(AVERAGE(Data!I997), "  ")</f>
        <v>2.5000000000000001E-2</v>
      </c>
      <c r="J995" s="42">
        <f>IFERROR(AVERAGE(Data!J997), "  ")</f>
        <v>6</v>
      </c>
      <c r="K995" s="44">
        <f>IFERROR(AVERAGE(Data!K997), "  ")</f>
        <v>-0.16776315789473684</v>
      </c>
      <c r="L995" s="45">
        <f>IFERROR(AVERAGE(Data!L997), "  ")</f>
        <v>710.33333333333337</v>
      </c>
    </row>
    <row r="996" spans="1:12" x14ac:dyDescent="0.2">
      <c r="A996" s="43"/>
      <c r="B996" s="42">
        <f>IFERROR(AVERAGE(Data!B998), "  ")</f>
        <v>223</v>
      </c>
      <c r="C996" s="42">
        <f>IFERROR(AVERAGE(Data!C998), "  ")</f>
        <v>27</v>
      </c>
      <c r="D996" s="42">
        <f>IFERROR(AVERAGE(Data!D998), "  ")</f>
        <v>106</v>
      </c>
      <c r="E996" s="42">
        <f>IFERROR(AVERAGE(Data!E998), "  ")</f>
        <v>356</v>
      </c>
      <c r="F996" s="42">
        <f>IFERROR(AVERAGE(Data!F998), "  ")</f>
        <v>851</v>
      </c>
      <c r="G996" s="42">
        <f>IFERROR(AVERAGE(Data!G998), "  ")</f>
        <v>495</v>
      </c>
      <c r="H996" s="44">
        <f>IFERROR(AVERAGE(Data!H998), "  ")</f>
        <v>0.12121212121212122</v>
      </c>
      <c r="I996" s="44">
        <f>IFERROR(AVERAGE(Data!I998), "  ")</f>
        <v>0.44715447154471544</v>
      </c>
      <c r="J996" s="42">
        <f>IFERROR(AVERAGE(Data!J998), "  ")</f>
        <v>110</v>
      </c>
      <c r="K996" s="44">
        <f>IFERROR(AVERAGE(Data!K998), "  ")</f>
        <v>-1.845444059976932E-2</v>
      </c>
      <c r="L996" s="45">
        <f>IFERROR(AVERAGE(Data!L998), "  ")</f>
        <v>784.66666666666663</v>
      </c>
    </row>
    <row r="997" spans="1:12" x14ac:dyDescent="0.2">
      <c r="A997" s="43"/>
      <c r="B997" s="42">
        <f>IFERROR(AVERAGE(Data!B999), "  ")</f>
        <v>194</v>
      </c>
      <c r="C997" s="42">
        <f>IFERROR(AVERAGE(Data!C999), "  ")</f>
        <v>14</v>
      </c>
      <c r="D997" s="42">
        <f>IFERROR(AVERAGE(Data!D999), "  ")</f>
        <v>135</v>
      </c>
      <c r="E997" s="42">
        <f>IFERROR(AVERAGE(Data!E999), "  ")</f>
        <v>343</v>
      </c>
      <c r="F997" s="42">
        <f>IFERROR(AVERAGE(Data!F999), "  ")</f>
        <v>932</v>
      </c>
      <c r="G997" s="42">
        <f>IFERROR(AVERAGE(Data!G999), "  ")</f>
        <v>589</v>
      </c>
      <c r="H997" s="44">
        <f>IFERROR(AVERAGE(Data!H999), "  ")</f>
        <v>9.5182138660399526E-2</v>
      </c>
      <c r="I997" s="44">
        <f>IFERROR(AVERAGE(Data!I999), "  ")</f>
        <v>-3.6516853932584269E-2</v>
      </c>
      <c r="J997" s="42">
        <f>IFERROR(AVERAGE(Data!J999), "  ")</f>
        <v>-13</v>
      </c>
      <c r="K997" s="44">
        <f>IFERROR(AVERAGE(Data!K999), "  ")</f>
        <v>0.24266666666666667</v>
      </c>
      <c r="L997" s="45">
        <f>IFERROR(AVERAGE(Data!L999), "  ")</f>
        <v>787.66666666666663</v>
      </c>
    </row>
    <row r="998" spans="1:12" x14ac:dyDescent="0.2">
      <c r="A998" s="43"/>
      <c r="B998" s="42">
        <f>IFERROR(AVERAGE(Data!B1000), "  ")</f>
        <v>261</v>
      </c>
      <c r="C998" s="42">
        <f>IFERROR(AVERAGE(Data!C1000), "  ")</f>
        <v>33</v>
      </c>
      <c r="D998" s="42">
        <f>IFERROR(AVERAGE(Data!D1000), "  ")</f>
        <v>134</v>
      </c>
      <c r="E998" s="42">
        <f>IFERROR(AVERAGE(Data!E1000), "  ")</f>
        <v>428</v>
      </c>
      <c r="F998" s="42">
        <f>IFERROR(AVERAGE(Data!F1000), "  ")</f>
        <v>911</v>
      </c>
      <c r="G998" s="42">
        <f>IFERROR(AVERAGE(Data!G1000), "  ")</f>
        <v>483</v>
      </c>
      <c r="H998" s="44">
        <f>IFERROR(AVERAGE(Data!H1000), "  ")</f>
        <v>-2.2532188841201718E-2</v>
      </c>
      <c r="I998" s="44">
        <f>IFERROR(AVERAGE(Data!I1000), "  ")</f>
        <v>0.24781341107871721</v>
      </c>
      <c r="J998" s="42">
        <f>IFERROR(AVERAGE(Data!J1000), "  ")</f>
        <v>85</v>
      </c>
      <c r="K998" s="44">
        <f>IFERROR(AVERAGE(Data!K1000), "  ")</f>
        <v>0.36581709145427288</v>
      </c>
      <c r="L998" s="45">
        <f>IFERROR(AVERAGE(Data!L1000), "  ")</f>
        <v>686.33333333333337</v>
      </c>
    </row>
    <row r="999" spans="1:12" x14ac:dyDescent="0.2">
      <c r="A999" s="43"/>
      <c r="B999" s="42">
        <f>IFERROR(AVERAGE(Data!B1001), "  ")</f>
        <v>320</v>
      </c>
      <c r="C999" s="42">
        <f>IFERROR(AVERAGE(Data!C1001), "  ")</f>
        <v>29</v>
      </c>
      <c r="D999" s="42">
        <f>IFERROR(AVERAGE(Data!D1001), "  ")</f>
        <v>165</v>
      </c>
      <c r="E999" s="42">
        <f>IFERROR(AVERAGE(Data!E1001), "  ")</f>
        <v>514</v>
      </c>
      <c r="F999" s="42">
        <f>IFERROR(AVERAGE(Data!F1001), "  ")</f>
        <v>806</v>
      </c>
      <c r="G999" s="42">
        <f>IFERROR(AVERAGE(Data!G1001), "  ")</f>
        <v>292</v>
      </c>
      <c r="H999" s="44">
        <f>IFERROR(AVERAGE(Data!H1001), "  ")</f>
        <v>-0.11525795828759605</v>
      </c>
      <c r="I999" s="44">
        <f>IFERROR(AVERAGE(Data!I1001), "  ")</f>
        <v>0.20093457943925233</v>
      </c>
      <c r="J999" s="42">
        <f>IFERROR(AVERAGE(Data!J1001), "  ")</f>
        <v>86</v>
      </c>
      <c r="K999" s="44">
        <f>IFERROR(AVERAGE(Data!K1001), "  ")</f>
        <v>7.1808510638297879E-2</v>
      </c>
      <c r="L999" s="45">
        <f>IFERROR(AVERAGE(Data!L1001), "  ")</f>
        <v>749</v>
      </c>
    </row>
    <row r="1000" spans="1:12" x14ac:dyDescent="0.2">
      <c r="A1000" s="43"/>
      <c r="B1000" s="42">
        <f>IFERROR(AVERAGE(Data!B1002), "  ")</f>
        <v>312</v>
      </c>
      <c r="C1000" s="42">
        <f>IFERROR(AVERAGE(Data!C1002), "  ")</f>
        <v>18</v>
      </c>
      <c r="D1000" s="42">
        <f>IFERROR(AVERAGE(Data!D1002), "  ")</f>
        <v>169</v>
      </c>
      <c r="E1000" s="42">
        <f>IFERROR(AVERAGE(Data!E1002), "  ")</f>
        <v>499</v>
      </c>
      <c r="F1000" s="42">
        <f>IFERROR(AVERAGE(Data!F1002), "  ")</f>
        <v>981</v>
      </c>
      <c r="G1000" s="42">
        <f>IFERROR(AVERAGE(Data!G1002), "  ")</f>
        <v>482</v>
      </c>
      <c r="H1000" s="44">
        <f>IFERROR(AVERAGE(Data!H1002), "  ")</f>
        <v>0.21712158808933002</v>
      </c>
      <c r="I1000" s="44">
        <f>IFERROR(AVERAGE(Data!I1002), "  ")</f>
        <v>-2.9182879377431907E-2</v>
      </c>
      <c r="J1000" s="42">
        <f>IFERROR(AVERAGE(Data!J1002), "  ")</f>
        <v>-15</v>
      </c>
      <c r="K1000" s="44">
        <f>IFERROR(AVERAGE(Data!K1002), "  ")</f>
        <v>0.3512396694214876</v>
      </c>
      <c r="L1000" s="45">
        <f>IFERROR(AVERAGE(Data!L1002), "  ")</f>
        <v>821.33333333333337</v>
      </c>
    </row>
    <row r="1001" spans="1:12" x14ac:dyDescent="0.2">
      <c r="A1001" s="43"/>
      <c r="B1001" s="42">
        <f>IFERROR(AVERAGE(Data!B1003), "  ")</f>
        <v>328</v>
      </c>
      <c r="C1001" s="42">
        <f>IFERROR(AVERAGE(Data!C1003), "  ")</f>
        <v>42</v>
      </c>
      <c r="D1001" s="42">
        <f>IFERROR(AVERAGE(Data!D1003), "  ")</f>
        <v>171</v>
      </c>
      <c r="E1001" s="42">
        <f>IFERROR(AVERAGE(Data!E1003), "  ")</f>
        <v>541</v>
      </c>
      <c r="F1001" s="42">
        <f>IFERROR(AVERAGE(Data!F1003), "  ")</f>
        <v>933</v>
      </c>
      <c r="G1001" s="42">
        <f>IFERROR(AVERAGE(Data!G1003), "  ")</f>
        <v>392</v>
      </c>
      <c r="H1001" s="44">
        <f>IFERROR(AVERAGE(Data!H1003), "  ")</f>
        <v>-4.8929663608562692E-2</v>
      </c>
      <c r="I1001" s="44">
        <f>IFERROR(AVERAGE(Data!I1003), "  ")</f>
        <v>8.4168336673346694E-2</v>
      </c>
      <c r="J1001" s="42">
        <f>IFERROR(AVERAGE(Data!J1003), "  ")</f>
        <v>42</v>
      </c>
      <c r="K1001" s="44">
        <f>IFERROR(AVERAGE(Data!K1003), "  ")</f>
        <v>0.3103932584269663</v>
      </c>
      <c r="L1001" s="45">
        <f>IFERROR(AVERAGE(Data!L1003), "  ")</f>
        <v>809.66666666666663</v>
      </c>
    </row>
    <row r="1002" spans="1:12" x14ac:dyDescent="0.2">
      <c r="A1002" s="43"/>
      <c r="B1002" s="42">
        <f>IFERROR(AVERAGE(Data!B1004), "  ")</f>
        <v>430</v>
      </c>
      <c r="C1002" s="42">
        <f>IFERROR(AVERAGE(Data!C1004), "  ")</f>
        <v>28</v>
      </c>
      <c r="D1002" s="42">
        <f>IFERROR(AVERAGE(Data!D1004), "  ")</f>
        <v>112</v>
      </c>
      <c r="E1002" s="42">
        <f>IFERROR(AVERAGE(Data!E1004), "  ")</f>
        <v>570</v>
      </c>
      <c r="F1002" s="42">
        <f>IFERROR(AVERAGE(Data!F1004), "  ")</f>
        <v>998</v>
      </c>
      <c r="G1002" s="42">
        <f>IFERROR(AVERAGE(Data!G1004), "  ")</f>
        <v>428</v>
      </c>
      <c r="H1002" s="44">
        <f>IFERROR(AVERAGE(Data!H1004), "  ")</f>
        <v>6.966773847802786E-2</v>
      </c>
      <c r="I1002" s="44">
        <f>IFERROR(AVERAGE(Data!I1004), "  ")</f>
        <v>5.3604436229205174E-2</v>
      </c>
      <c r="J1002" s="42">
        <f>IFERROR(AVERAGE(Data!J1004), "  ")</f>
        <v>29</v>
      </c>
      <c r="K1002" s="44">
        <f>IFERROR(AVERAGE(Data!K1004), "  ")</f>
        <v>0.5569422776911076</v>
      </c>
      <c r="L1002" s="45">
        <f>IFERROR(AVERAGE(Data!L1004), "  ")</f>
        <v>760</v>
      </c>
    </row>
    <row r="1003" spans="1:12" x14ac:dyDescent="0.2">
      <c r="A1003" s="43"/>
      <c r="B1003" s="42">
        <f>IFERROR(AVERAGE(Data!B1005), "  ")</f>
        <v>356</v>
      </c>
      <c r="C1003" s="42">
        <f>IFERROR(AVERAGE(Data!C1005), "  ")</f>
        <v>32</v>
      </c>
      <c r="D1003" s="42">
        <f>IFERROR(AVERAGE(Data!D1005), "  ")</f>
        <v>168</v>
      </c>
      <c r="E1003" s="42">
        <f>IFERROR(AVERAGE(Data!E1005), "  ")</f>
        <v>556</v>
      </c>
      <c r="F1003" s="42">
        <f>IFERROR(AVERAGE(Data!F1005), "  ")</f>
        <v>983</v>
      </c>
      <c r="G1003" s="42">
        <f>IFERROR(AVERAGE(Data!G1005), "  ")</f>
        <v>427</v>
      </c>
      <c r="H1003" s="44">
        <f>IFERROR(AVERAGE(Data!H1005), "  ")</f>
        <v>-1.503006012024048E-2</v>
      </c>
      <c r="I1003" s="44">
        <f>IFERROR(AVERAGE(Data!I1005), "  ")</f>
        <v>-2.456140350877193E-2</v>
      </c>
      <c r="J1003" s="42">
        <f>IFERROR(AVERAGE(Data!J1005), "  ")</f>
        <v>-14</v>
      </c>
      <c r="K1003" s="44">
        <f>IFERROR(AVERAGE(Data!K1005), "  ")</f>
        <v>0.84774436090225569</v>
      </c>
      <c r="L1003" s="45">
        <f>IFERROR(AVERAGE(Data!L1005), "  ")</f>
        <v>722.33333333333337</v>
      </c>
    </row>
    <row r="1004" spans="1:12" x14ac:dyDescent="0.2">
      <c r="A1004" s="43"/>
      <c r="B1004" s="42">
        <f>IFERROR(AVERAGE(Data!B1006), "  ")</f>
        <v>341</v>
      </c>
      <c r="C1004" s="42">
        <f>IFERROR(AVERAGE(Data!C1006), "  ")</f>
        <v>15</v>
      </c>
      <c r="D1004" s="42">
        <f>IFERROR(AVERAGE(Data!D1006), "  ")</f>
        <v>137</v>
      </c>
      <c r="E1004" s="42">
        <f>IFERROR(AVERAGE(Data!E1006), "  ")</f>
        <v>493</v>
      </c>
      <c r="F1004" s="42">
        <f>IFERROR(AVERAGE(Data!F1006), "  ")</f>
        <v>868</v>
      </c>
      <c r="G1004" s="42">
        <f>IFERROR(AVERAGE(Data!G1006), "  ")</f>
        <v>375</v>
      </c>
      <c r="H1004" s="44">
        <f>IFERROR(AVERAGE(Data!H1006), "  ")</f>
        <v>-0.11698880976602238</v>
      </c>
      <c r="I1004" s="44">
        <f>IFERROR(AVERAGE(Data!I1006), "  ")</f>
        <v>-0.11330935251798561</v>
      </c>
      <c r="J1004" s="42">
        <f>IFERROR(AVERAGE(Data!J1006), "  ")</f>
        <v>-63</v>
      </c>
      <c r="K1004" s="44">
        <f>IFERROR(AVERAGE(Data!K1006), "  ")</f>
        <v>0.26900584795321636</v>
      </c>
      <c r="L1004" s="45">
        <f>IFERROR(AVERAGE(Data!L1006), "  ")</f>
        <v>716</v>
      </c>
    </row>
    <row r="1005" spans="1:12" x14ac:dyDescent="0.2">
      <c r="A1005" s="43"/>
      <c r="B1005" s="42">
        <f>IFERROR(AVERAGE(Data!B1007), "  ")</f>
        <v>382</v>
      </c>
      <c r="C1005" s="42">
        <f>IFERROR(AVERAGE(Data!C1007), "  ")</f>
        <v>22</v>
      </c>
      <c r="D1005" s="42">
        <f>IFERROR(AVERAGE(Data!D1007), "  ")</f>
        <v>215</v>
      </c>
      <c r="E1005" s="42">
        <f>IFERROR(AVERAGE(Data!E1007), "  ")</f>
        <v>619</v>
      </c>
      <c r="F1005" s="42">
        <f>IFERROR(AVERAGE(Data!F1007), "  ")</f>
        <v>878</v>
      </c>
      <c r="G1005" s="42">
        <f>IFERROR(AVERAGE(Data!G1007), "  ")</f>
        <v>259</v>
      </c>
      <c r="H1005" s="44">
        <f>IFERROR(AVERAGE(Data!H1007), "  ")</f>
        <v>1.1520737327188941E-2</v>
      </c>
      <c r="I1005" s="44">
        <f>IFERROR(AVERAGE(Data!I1007), "  ")</f>
        <v>0.25557809330628806</v>
      </c>
      <c r="J1005" s="42">
        <f>IFERROR(AVERAGE(Data!J1007), "  ")</f>
        <v>126</v>
      </c>
      <c r="K1005" s="44">
        <f>IFERROR(AVERAGE(Data!K1007), "  ")</f>
        <v>2.3310023310023312E-2</v>
      </c>
      <c r="L1005" s="45">
        <f>IFERROR(AVERAGE(Data!L1007), "  ")</f>
        <v>877.66666666666663</v>
      </c>
    </row>
    <row r="1006" spans="1:12" x14ac:dyDescent="0.2">
      <c r="A1006" s="43"/>
      <c r="B1006" s="42">
        <f>IFERROR(AVERAGE(Data!B1008), "  ")</f>
        <v>321</v>
      </c>
      <c r="C1006" s="42">
        <f>IFERROR(AVERAGE(Data!C1008), "  ")</f>
        <v>18</v>
      </c>
      <c r="D1006" s="42">
        <f>IFERROR(AVERAGE(Data!D1008), "  ")</f>
        <v>208</v>
      </c>
      <c r="E1006" s="42">
        <f>IFERROR(AVERAGE(Data!E1008), "  ")</f>
        <v>547</v>
      </c>
      <c r="F1006" s="42">
        <f>IFERROR(AVERAGE(Data!F1008), "  ")</f>
        <v>877</v>
      </c>
      <c r="G1006" s="42">
        <f>IFERROR(AVERAGE(Data!G1008), "  ")</f>
        <v>330</v>
      </c>
      <c r="H1006" s="44">
        <f>IFERROR(AVERAGE(Data!H1008), "  ")</f>
        <v>-1.1389521640091116E-3</v>
      </c>
      <c r="I1006" s="44">
        <f>IFERROR(AVERAGE(Data!I1008), "  ")</f>
        <v>-0.11631663974151858</v>
      </c>
      <c r="J1006" s="42">
        <f>IFERROR(AVERAGE(Data!J1008), "  ")</f>
        <v>-72</v>
      </c>
      <c r="K1006" s="44">
        <f>IFERROR(AVERAGE(Data!K1008), "  ")</f>
        <v>8.138101109741061E-2</v>
      </c>
      <c r="L1006" s="45">
        <f>IFERROR(AVERAGE(Data!L1008), "  ")</f>
        <v>849.66666666666663</v>
      </c>
    </row>
    <row r="1007" spans="1:12" x14ac:dyDescent="0.2">
      <c r="A1007" s="43"/>
      <c r="B1007" s="42">
        <f>IFERROR(AVERAGE(Data!B1009), "  ")</f>
        <v>446</v>
      </c>
      <c r="C1007" s="42">
        <f>IFERROR(AVERAGE(Data!C1009), "  ")</f>
        <v>26</v>
      </c>
      <c r="D1007" s="42">
        <f>IFERROR(AVERAGE(Data!D1009), "  ")</f>
        <v>159</v>
      </c>
      <c r="E1007" s="42">
        <f>IFERROR(AVERAGE(Data!E1009), "  ")</f>
        <v>631</v>
      </c>
      <c r="F1007" s="42">
        <f>IFERROR(AVERAGE(Data!F1009), "  ")</f>
        <v>720</v>
      </c>
      <c r="G1007" s="42">
        <f>IFERROR(AVERAGE(Data!G1009), "  ")</f>
        <v>89</v>
      </c>
      <c r="H1007" s="44">
        <f>IFERROR(AVERAGE(Data!H1009), "  ")</f>
        <v>-0.1790193842645382</v>
      </c>
      <c r="I1007" s="44">
        <f>IFERROR(AVERAGE(Data!I1009), "  ")</f>
        <v>0.15356489945155394</v>
      </c>
      <c r="J1007" s="42">
        <f>IFERROR(AVERAGE(Data!J1009), "  ")</f>
        <v>84</v>
      </c>
      <c r="K1007" s="44">
        <f>IFERROR(AVERAGE(Data!K1009), "  ")</f>
        <v>0.19008264462809918</v>
      </c>
      <c r="L1007" s="45">
        <f>IFERROR(AVERAGE(Data!L1009), "  ")</f>
        <v>741.66666666666663</v>
      </c>
    </row>
    <row r="1008" spans="1:12" x14ac:dyDescent="0.2">
      <c r="A1008" s="43"/>
      <c r="B1008" s="42">
        <f>IFERROR(AVERAGE(Data!B1010), "  ")</f>
        <v>279</v>
      </c>
      <c r="C1008" s="42">
        <f>IFERROR(AVERAGE(Data!C1010), "  ")</f>
        <v>10</v>
      </c>
      <c r="D1008" s="42">
        <f>IFERROR(AVERAGE(Data!D1010), "  ")</f>
        <v>156</v>
      </c>
      <c r="E1008" s="42">
        <f>IFERROR(AVERAGE(Data!E1010), "  ")</f>
        <v>445</v>
      </c>
      <c r="F1008" s="42">
        <f>IFERROR(AVERAGE(Data!F1010), "  ")</f>
        <v>919</v>
      </c>
      <c r="G1008" s="42">
        <f>IFERROR(AVERAGE(Data!G1010), "  ")</f>
        <v>474</v>
      </c>
      <c r="H1008" s="44">
        <f>IFERROR(AVERAGE(Data!H1010), "  ")</f>
        <v>0.27638888888888891</v>
      </c>
      <c r="I1008" s="44">
        <f>IFERROR(AVERAGE(Data!I1010), "  ")</f>
        <v>-0.29477020602218701</v>
      </c>
      <c r="J1008" s="42">
        <f>IFERROR(AVERAGE(Data!J1010), "  ")</f>
        <v>-186</v>
      </c>
      <c r="K1008" s="44">
        <f>IFERROR(AVERAGE(Data!K1010), "  ")</f>
        <v>9.5351609058402856E-2</v>
      </c>
      <c r="L1008" s="45">
        <f>IFERROR(AVERAGE(Data!L1010), "  ")</f>
        <v>765.33333333333337</v>
      </c>
    </row>
    <row r="1009" spans="1:12" x14ac:dyDescent="0.2">
      <c r="A1009" s="43"/>
      <c r="B1009" s="42">
        <f>IFERROR(AVERAGE(Data!B1011), "  ")</f>
        <v>175</v>
      </c>
      <c r="C1009" s="42">
        <f>IFERROR(AVERAGE(Data!C1011), "  ")</f>
        <v>16</v>
      </c>
      <c r="D1009" s="42">
        <f>IFERROR(AVERAGE(Data!D1011), "  ")</f>
        <v>102</v>
      </c>
      <c r="E1009" s="42">
        <f>IFERROR(AVERAGE(Data!E1011), "  ")</f>
        <v>293</v>
      </c>
      <c r="F1009" s="42">
        <f>IFERROR(AVERAGE(Data!F1011), "  ")</f>
        <v>838</v>
      </c>
      <c r="G1009" s="42">
        <f>IFERROR(AVERAGE(Data!G1011), "  ")</f>
        <v>545</v>
      </c>
      <c r="H1009" s="44">
        <f>IFERROR(AVERAGE(Data!H1011), "  ")</f>
        <v>-8.8139281828073998E-2</v>
      </c>
      <c r="I1009" s="44">
        <f>IFERROR(AVERAGE(Data!I1011), "  ")</f>
        <v>-0.34157303370786518</v>
      </c>
      <c r="J1009" s="42">
        <f>IFERROR(AVERAGE(Data!J1011), "  ")</f>
        <v>-152</v>
      </c>
      <c r="K1009" s="44">
        <f>IFERROR(AVERAGE(Data!K1011), "  ")</f>
        <v>7.7120822622107968E-2</v>
      </c>
      <c r="L1009" s="45">
        <f>IFERROR(AVERAGE(Data!L1011), "  ")</f>
        <v>826.33333333333337</v>
      </c>
    </row>
    <row r="1010" spans="1:12" x14ac:dyDescent="0.2">
      <c r="A1010" s="43"/>
      <c r="B1010" s="42">
        <f>IFERROR(AVERAGE(Data!B1012), "  ")</f>
        <v>165</v>
      </c>
      <c r="C1010" s="42">
        <f>IFERROR(AVERAGE(Data!C1012), "  ")</f>
        <v>11</v>
      </c>
      <c r="D1010" s="42">
        <f>IFERROR(AVERAGE(Data!D1012), "  ")</f>
        <v>108</v>
      </c>
      <c r="E1010" s="42">
        <f>IFERROR(AVERAGE(Data!E1012), "  ")</f>
        <v>284</v>
      </c>
      <c r="F1010" s="42">
        <f>IFERROR(AVERAGE(Data!F1012), "  ")</f>
        <v>911</v>
      </c>
      <c r="G1010" s="42">
        <f>IFERROR(AVERAGE(Data!G1012), "  ")</f>
        <v>627</v>
      </c>
      <c r="H1010" s="44">
        <f>IFERROR(AVERAGE(Data!H1012), "  ")</f>
        <v>8.7112171837708835E-2</v>
      </c>
      <c r="I1010" s="44">
        <f>IFERROR(AVERAGE(Data!I1012), "  ")</f>
        <v>-3.0716723549488054E-2</v>
      </c>
      <c r="J1010" s="42">
        <f>IFERROR(AVERAGE(Data!J1012), "  ")</f>
        <v>-9</v>
      </c>
      <c r="K1010" s="44">
        <f>IFERROR(AVERAGE(Data!K1012), "  ")</f>
        <v>0.33773861967694568</v>
      </c>
      <c r="L1010" s="45">
        <f>IFERROR(AVERAGE(Data!L1012), "  ")</f>
        <v>724.33333333333337</v>
      </c>
    </row>
    <row r="1011" spans="1:12" x14ac:dyDescent="0.2">
      <c r="A1011" s="43"/>
      <c r="B1011" s="42">
        <f>IFERROR(AVERAGE(Data!B1013), "  ")</f>
        <v>186</v>
      </c>
      <c r="C1011" s="42">
        <f>IFERROR(AVERAGE(Data!C1013), "  ")</f>
        <v>31</v>
      </c>
      <c r="D1011" s="42">
        <f>IFERROR(AVERAGE(Data!D1013), "  ")</f>
        <v>204</v>
      </c>
      <c r="E1011" s="42">
        <f>IFERROR(AVERAGE(Data!E1013), "  ")</f>
        <v>421</v>
      </c>
      <c r="F1011" s="42">
        <f>IFERROR(AVERAGE(Data!F1013), "  ")</f>
        <v>418</v>
      </c>
      <c r="G1011" s="42">
        <f>IFERROR(AVERAGE(Data!G1013), "  ")</f>
        <v>-3</v>
      </c>
      <c r="H1011" s="44">
        <f>IFERROR(AVERAGE(Data!H1013), "  ")</f>
        <v>-0.54116355653128434</v>
      </c>
      <c r="I1011" s="44">
        <f>IFERROR(AVERAGE(Data!I1013), "  ")</f>
        <v>0.48239436619718312</v>
      </c>
      <c r="J1011" s="42">
        <f>IFERROR(AVERAGE(Data!J1013), "  ")</f>
        <v>137</v>
      </c>
      <c r="K1011" s="44">
        <f>IFERROR(AVERAGE(Data!K1013), "  ")</f>
        <v>-0.11627906976744186</v>
      </c>
      <c r="L1011" s="45">
        <f>IFERROR(AVERAGE(Data!L1013), "  ")</f>
        <v>663.33333333333337</v>
      </c>
    </row>
    <row r="1012" spans="1:12" x14ac:dyDescent="0.2">
      <c r="A1012" s="43"/>
      <c r="B1012" s="42">
        <f>IFERROR(AVERAGE(Data!B1014), "  ")</f>
        <v>191</v>
      </c>
      <c r="C1012" s="42">
        <f>IFERROR(AVERAGE(Data!C1014), "  ")</f>
        <v>22</v>
      </c>
      <c r="D1012" s="42">
        <f>IFERROR(AVERAGE(Data!D1014), "  ")</f>
        <v>179</v>
      </c>
      <c r="E1012" s="42">
        <f>IFERROR(AVERAGE(Data!E1014), "  ")</f>
        <v>392</v>
      </c>
      <c r="F1012" s="42">
        <f>IFERROR(AVERAGE(Data!F1014), "  ")</f>
        <v>865</v>
      </c>
      <c r="G1012" s="42">
        <f>IFERROR(AVERAGE(Data!G1014), "  ")</f>
        <v>473</v>
      </c>
      <c r="H1012" s="44">
        <f>IFERROR(AVERAGE(Data!H1014), "  ")</f>
        <v>1.069377990430622</v>
      </c>
      <c r="I1012" s="44">
        <f>IFERROR(AVERAGE(Data!I1014), "  ")</f>
        <v>-6.8883610451306407E-2</v>
      </c>
      <c r="J1012" s="42">
        <f>IFERROR(AVERAGE(Data!J1014), "  ")</f>
        <v>-29</v>
      </c>
      <c r="K1012" s="44">
        <f>IFERROR(AVERAGE(Data!K1014), "  ")</f>
        <v>0.11901681759379043</v>
      </c>
      <c r="L1012" s="45">
        <f>IFERROR(AVERAGE(Data!L1014), "  ")</f>
        <v>699.33333333333337</v>
      </c>
    </row>
    <row r="1013" spans="1:12" x14ac:dyDescent="0.2">
      <c r="A1013" s="43"/>
      <c r="B1013" s="42">
        <f>IFERROR(AVERAGE(Data!B1015), "  ")</f>
        <v>248</v>
      </c>
      <c r="C1013" s="42">
        <f>IFERROR(AVERAGE(Data!C1015), "  ")</f>
        <v>15</v>
      </c>
      <c r="D1013" s="42">
        <f>IFERROR(AVERAGE(Data!D1015), "  ")</f>
        <v>126</v>
      </c>
      <c r="E1013" s="42">
        <f>IFERROR(AVERAGE(Data!E1015), "  ")</f>
        <v>389</v>
      </c>
      <c r="F1013" s="42">
        <f>IFERROR(AVERAGE(Data!F1015), "  ")</f>
        <v>640</v>
      </c>
      <c r="G1013" s="42">
        <f>IFERROR(AVERAGE(Data!G1015), "  ")</f>
        <v>251</v>
      </c>
      <c r="H1013" s="44">
        <f>IFERROR(AVERAGE(Data!H1015), "  ")</f>
        <v>-0.26011560693641617</v>
      </c>
      <c r="I1013" s="44">
        <f>IFERROR(AVERAGE(Data!I1015), "  ")</f>
        <v>-7.6530612244897957E-3</v>
      </c>
      <c r="J1013" s="42">
        <f>IFERROR(AVERAGE(Data!J1015), "  ")</f>
        <v>-3</v>
      </c>
      <c r="K1013" s="44">
        <f>IFERROR(AVERAGE(Data!K1015), "  ")</f>
        <v>-0.15231788079470199</v>
      </c>
      <c r="L1013" s="45">
        <f>IFERROR(AVERAGE(Data!L1015), "  ")</f>
        <v>784.33333333333337</v>
      </c>
    </row>
    <row r="1014" spans="1:12" x14ac:dyDescent="0.2">
      <c r="A1014" s="43"/>
      <c r="B1014" s="42">
        <f>IFERROR(AVERAGE(Data!B1016), "  ")</f>
        <v>225</v>
      </c>
      <c r="C1014" s="42">
        <f>IFERROR(AVERAGE(Data!C1016), "  ")</f>
        <v>33</v>
      </c>
      <c r="D1014" s="42">
        <f>IFERROR(AVERAGE(Data!D1016), "  ")</f>
        <v>165</v>
      </c>
      <c r="E1014" s="42">
        <f>IFERROR(AVERAGE(Data!E1016), "  ")</f>
        <v>423</v>
      </c>
      <c r="F1014" s="42">
        <f>IFERROR(AVERAGE(Data!F1016), "  ")</f>
        <v>703</v>
      </c>
      <c r="G1014" s="42">
        <f>IFERROR(AVERAGE(Data!G1016), "  ")</f>
        <v>280</v>
      </c>
      <c r="H1014" s="44">
        <f>IFERROR(AVERAGE(Data!H1016), "  ")</f>
        <v>9.8437499999999997E-2</v>
      </c>
      <c r="I1014" s="44">
        <f>IFERROR(AVERAGE(Data!I1016), "  ")</f>
        <v>8.7403598971722368E-2</v>
      </c>
      <c r="J1014" s="42">
        <f>IFERROR(AVERAGE(Data!J1016), "  ")</f>
        <v>34</v>
      </c>
      <c r="K1014" s="44">
        <f>IFERROR(AVERAGE(Data!K1016), "  ")</f>
        <v>3.3823529411764704E-2</v>
      </c>
      <c r="L1014" s="45">
        <f>IFERROR(AVERAGE(Data!L1016), "  ")</f>
        <v>725.66666666666663</v>
      </c>
    </row>
    <row r="1015" spans="1:12" x14ac:dyDescent="0.2">
      <c r="A1015" s="43"/>
      <c r="B1015" s="42">
        <f>IFERROR(AVERAGE(Data!B1017), "  ")</f>
        <v>148</v>
      </c>
      <c r="C1015" s="42">
        <f>IFERROR(AVERAGE(Data!C1017), "  ")</f>
        <v>22</v>
      </c>
      <c r="D1015" s="42">
        <f>IFERROR(AVERAGE(Data!D1017), "  ")</f>
        <v>101</v>
      </c>
      <c r="E1015" s="42">
        <f>IFERROR(AVERAGE(Data!E1017), "  ")</f>
        <v>271</v>
      </c>
      <c r="F1015" s="42">
        <f>IFERROR(AVERAGE(Data!F1017), "  ")</f>
        <v>745</v>
      </c>
      <c r="G1015" s="42">
        <f>IFERROR(AVERAGE(Data!G1017), "  ")</f>
        <v>474</v>
      </c>
      <c r="H1015" s="44">
        <f>IFERROR(AVERAGE(Data!H1017), "  ")</f>
        <v>5.9743954480796585E-2</v>
      </c>
      <c r="I1015" s="44">
        <f>IFERROR(AVERAGE(Data!I1017), "  ")</f>
        <v>-0.35933806146572106</v>
      </c>
      <c r="J1015" s="42">
        <f>IFERROR(AVERAGE(Data!J1017), "  ")</f>
        <v>-152</v>
      </c>
      <c r="K1015" s="44">
        <f>IFERROR(AVERAGE(Data!K1017), "  ")</f>
        <v>-2.8683181225554105E-2</v>
      </c>
      <c r="L1015" s="45">
        <f>IFERROR(AVERAGE(Data!L1017), "  ")</f>
        <v>658.33333333333337</v>
      </c>
    </row>
    <row r="1016" spans="1:12" x14ac:dyDescent="0.2">
      <c r="A1016" s="43"/>
      <c r="B1016" s="42">
        <f>IFERROR(AVERAGE(Data!B1018), "  ")</f>
        <v>110</v>
      </c>
      <c r="C1016" s="42">
        <f>IFERROR(AVERAGE(Data!C1018), "  ")</f>
        <v>27</v>
      </c>
      <c r="D1016" s="42">
        <f>IFERROR(AVERAGE(Data!D1018), "  ")</f>
        <v>164</v>
      </c>
      <c r="E1016" s="42">
        <f>IFERROR(AVERAGE(Data!E1018), "  ")</f>
        <v>301</v>
      </c>
      <c r="F1016" s="42">
        <f>IFERROR(AVERAGE(Data!F1018), "  ")</f>
        <v>635</v>
      </c>
      <c r="G1016" s="42">
        <f>IFERROR(AVERAGE(Data!G1018), "  ")</f>
        <v>334</v>
      </c>
      <c r="H1016" s="44">
        <f>IFERROR(AVERAGE(Data!H1018), "  ")</f>
        <v>-0.1476510067114094</v>
      </c>
      <c r="I1016" s="44">
        <f>IFERROR(AVERAGE(Data!I1018), "  ")</f>
        <v>0.11070110701107011</v>
      </c>
      <c r="J1016" s="42">
        <f>IFERROR(AVERAGE(Data!J1018), "  ")</f>
        <v>30</v>
      </c>
      <c r="K1016" s="44">
        <f>IFERROR(AVERAGE(Data!K1018), "  ")</f>
        <v>-0.1325136612021858</v>
      </c>
      <c r="L1016" s="45">
        <f>IFERROR(AVERAGE(Data!L1018), "  ")</f>
        <v>752.33333333333337</v>
      </c>
    </row>
    <row r="1017" spans="1:12" x14ac:dyDescent="0.2">
      <c r="A1017" s="43"/>
      <c r="B1017" s="42">
        <f>IFERROR(AVERAGE(Data!B1019), "  ")</f>
        <v>97</v>
      </c>
      <c r="C1017" s="42">
        <f>IFERROR(AVERAGE(Data!C1019), "  ")</f>
        <v>29</v>
      </c>
      <c r="D1017" s="42">
        <f>IFERROR(AVERAGE(Data!D1019), "  ")</f>
        <v>122</v>
      </c>
      <c r="E1017" s="42">
        <f>IFERROR(AVERAGE(Data!E1019), "  ")</f>
        <v>248</v>
      </c>
      <c r="F1017" s="42">
        <f>IFERROR(AVERAGE(Data!F1019), "  ")</f>
        <v>727</v>
      </c>
      <c r="G1017" s="42">
        <f>IFERROR(AVERAGE(Data!G1019), "  ")</f>
        <v>479</v>
      </c>
      <c r="H1017" s="44">
        <f>IFERROR(AVERAGE(Data!H1019), "  ")</f>
        <v>0.14488188976377953</v>
      </c>
      <c r="I1017" s="44">
        <f>IFERROR(AVERAGE(Data!I1019), "  ")</f>
        <v>-0.17607973421926909</v>
      </c>
      <c r="J1017" s="42">
        <f>IFERROR(AVERAGE(Data!J1019), "  ")</f>
        <v>-53</v>
      </c>
      <c r="K1017" s="44">
        <f>IFERROR(AVERAGE(Data!K1019), "  ")</f>
        <v>0.17069243156199679</v>
      </c>
      <c r="L1017" s="45">
        <f>IFERROR(AVERAGE(Data!L1019), "  ")</f>
        <v>656.33333333333337</v>
      </c>
    </row>
    <row r="1018" spans="1:12" x14ac:dyDescent="0.2">
      <c r="A1018" s="43"/>
      <c r="B1018" s="42">
        <f>IFERROR(AVERAGE(Data!B1020), "  ")</f>
        <v>245</v>
      </c>
      <c r="C1018" s="42">
        <f>IFERROR(AVERAGE(Data!C1020), "  ")</f>
        <v>24</v>
      </c>
      <c r="D1018" s="42">
        <f>IFERROR(AVERAGE(Data!D1020), "  ")</f>
        <v>238</v>
      </c>
      <c r="E1018" s="42">
        <f>IFERROR(AVERAGE(Data!E1020), "  ")</f>
        <v>507</v>
      </c>
      <c r="F1018" s="42">
        <f>IFERROR(AVERAGE(Data!F1020), "  ")</f>
        <v>704</v>
      </c>
      <c r="G1018" s="42">
        <f>IFERROR(AVERAGE(Data!G1020), "  ")</f>
        <v>197</v>
      </c>
      <c r="H1018" s="44">
        <f>IFERROR(AVERAGE(Data!H1020), "  ")</f>
        <v>-3.1636863823933978E-2</v>
      </c>
      <c r="I1018" s="44">
        <f>IFERROR(AVERAGE(Data!I1020), "  ")</f>
        <v>1.0443548387096775</v>
      </c>
      <c r="J1018" s="42">
        <f>IFERROR(AVERAGE(Data!J1020), "  ")</f>
        <v>259</v>
      </c>
      <c r="K1018" s="44">
        <f>IFERROR(AVERAGE(Data!K1020), "  ")</f>
        <v>0.13915857605177995</v>
      </c>
      <c r="L1018" s="45">
        <f>IFERROR(AVERAGE(Data!L1020), "  ")</f>
        <v>652</v>
      </c>
    </row>
    <row r="1019" spans="1:12" x14ac:dyDescent="0.2">
      <c r="A1019" s="43"/>
      <c r="B1019" s="42">
        <f>IFERROR(AVERAGE(Data!B1021), "  ")</f>
        <v>235</v>
      </c>
      <c r="C1019" s="42">
        <f>IFERROR(AVERAGE(Data!C1021), "  ")</f>
        <v>27</v>
      </c>
      <c r="D1019" s="42">
        <f>IFERROR(AVERAGE(Data!D1021), "  ")</f>
        <v>197</v>
      </c>
      <c r="E1019" s="42">
        <f>IFERROR(AVERAGE(Data!E1021), "  ")</f>
        <v>459</v>
      </c>
      <c r="F1019" s="42">
        <f>IFERROR(AVERAGE(Data!F1021), "  ")</f>
        <v>853</v>
      </c>
      <c r="G1019" s="42">
        <f>IFERROR(AVERAGE(Data!G1021), "  ")</f>
        <v>394</v>
      </c>
      <c r="H1019" s="44">
        <f>IFERROR(AVERAGE(Data!H1021), "  ")</f>
        <v>0.21164772727272727</v>
      </c>
      <c r="I1019" s="44">
        <f>IFERROR(AVERAGE(Data!I1021), "  ")</f>
        <v>-9.4674556213017749E-2</v>
      </c>
      <c r="J1019" s="42">
        <f>IFERROR(AVERAGE(Data!J1021), "  ")</f>
        <v>-48</v>
      </c>
      <c r="K1019" s="44">
        <f>IFERROR(AVERAGE(Data!K1021), "  ")</f>
        <v>0.31432973805855163</v>
      </c>
      <c r="L1019" s="45">
        <f>IFERROR(AVERAGE(Data!L1021), "  ")</f>
        <v>686</v>
      </c>
    </row>
    <row r="1020" spans="1:12" x14ac:dyDescent="0.2">
      <c r="A1020" s="43"/>
      <c r="B1020" s="42">
        <f>IFERROR(AVERAGE(Data!B1022), "  ")</f>
        <v>319</v>
      </c>
      <c r="C1020" s="42">
        <f>IFERROR(AVERAGE(Data!C1022), "  ")</f>
        <v>30</v>
      </c>
      <c r="D1020" s="42">
        <f>IFERROR(AVERAGE(Data!D1022), "  ")</f>
        <v>225</v>
      </c>
      <c r="E1020" s="42">
        <f>IFERROR(AVERAGE(Data!E1022), "  ")</f>
        <v>574</v>
      </c>
      <c r="F1020" s="42">
        <f>IFERROR(AVERAGE(Data!F1022), "  ")</f>
        <v>715</v>
      </c>
      <c r="G1020" s="42">
        <f>IFERROR(AVERAGE(Data!G1022), "  ")</f>
        <v>141</v>
      </c>
      <c r="H1020" s="44">
        <f>IFERROR(AVERAGE(Data!H1022), "  ")</f>
        <v>-0.16178194607268465</v>
      </c>
      <c r="I1020" s="44">
        <f>IFERROR(AVERAGE(Data!I1022), "  ")</f>
        <v>0.25054466230936817</v>
      </c>
      <c r="J1020" s="42">
        <f>IFERROR(AVERAGE(Data!J1022), "  ")</f>
        <v>115</v>
      </c>
      <c r="K1020" s="44">
        <f>IFERROR(AVERAGE(Data!K1022), "  ")</f>
        <v>0.17792421746293247</v>
      </c>
      <c r="L1020" s="45">
        <f>IFERROR(AVERAGE(Data!L1022), "  ")</f>
        <v>673.33333333333337</v>
      </c>
    </row>
    <row r="1021" spans="1:12" x14ac:dyDescent="0.2">
      <c r="A1021" s="43"/>
      <c r="B1021" s="42">
        <f>IFERROR(AVERAGE(Data!B1023), "  ")</f>
        <v>166</v>
      </c>
      <c r="C1021" s="42">
        <f>IFERROR(AVERAGE(Data!C1023), "  ")</f>
        <v>20</v>
      </c>
      <c r="D1021" s="42">
        <f>IFERROR(AVERAGE(Data!D1023), "  ")</f>
        <v>77</v>
      </c>
      <c r="E1021" s="42">
        <f>IFERROR(AVERAGE(Data!E1023), "  ")</f>
        <v>263</v>
      </c>
      <c r="F1021" s="42">
        <f>IFERROR(AVERAGE(Data!F1023), "  ")</f>
        <v>747</v>
      </c>
      <c r="G1021" s="42">
        <f>IFERROR(AVERAGE(Data!G1023), "  ")</f>
        <v>484</v>
      </c>
      <c r="H1021" s="44">
        <f>IFERROR(AVERAGE(Data!H1023), "  ")</f>
        <v>4.4755244755244755E-2</v>
      </c>
      <c r="I1021" s="44">
        <f>IFERROR(AVERAGE(Data!I1023), "  ")</f>
        <v>-0.54181184668989546</v>
      </c>
      <c r="J1021" s="42">
        <f>IFERROR(AVERAGE(Data!J1023), "  ")</f>
        <v>-311</v>
      </c>
      <c r="K1021" s="44">
        <f>IFERROR(AVERAGE(Data!K1023), "  ")</f>
        <v>0.2991304347826087</v>
      </c>
      <c r="L1021" s="45">
        <f>IFERROR(AVERAGE(Data!L1023), "  ")</f>
        <v>670</v>
      </c>
    </row>
    <row r="1022" spans="1:12" x14ac:dyDescent="0.2">
      <c r="A1022" s="43"/>
      <c r="B1022" s="42">
        <f>IFERROR(AVERAGE(Data!B1024), "  ")</f>
        <v>282</v>
      </c>
      <c r="C1022" s="42">
        <f>IFERROR(AVERAGE(Data!C1024), "  ")</f>
        <v>0</v>
      </c>
      <c r="D1022" s="42">
        <f>IFERROR(AVERAGE(Data!D1024), "  ")</f>
        <v>67</v>
      </c>
      <c r="E1022" s="42">
        <f>IFERROR(AVERAGE(Data!E1024), "  ")</f>
        <v>349</v>
      </c>
      <c r="F1022" s="42">
        <f>IFERROR(AVERAGE(Data!F1024), "  ")</f>
        <v>735</v>
      </c>
      <c r="G1022" s="42">
        <f>IFERROR(AVERAGE(Data!G1024), "  ")</f>
        <v>386</v>
      </c>
      <c r="H1022" s="44">
        <f>IFERROR(AVERAGE(Data!H1024), "  ")</f>
        <v>-1.6064257028112448E-2</v>
      </c>
      <c r="I1022" s="44">
        <f>IFERROR(AVERAGE(Data!I1024), "  ")</f>
        <v>0.3269961977186312</v>
      </c>
      <c r="J1022" s="42">
        <f>IFERROR(AVERAGE(Data!J1024), "  ")</f>
        <v>86</v>
      </c>
      <c r="K1022" s="44">
        <f>IFERROR(AVERAGE(Data!K1024), "  ")</f>
        <v>0.37383177570093457</v>
      </c>
      <c r="L1022" s="45">
        <f>IFERROR(AVERAGE(Data!L1024), "  ")</f>
        <v>659.66666666666663</v>
      </c>
    </row>
    <row r="1023" spans="1:12" x14ac:dyDescent="0.2">
      <c r="A1023" s="43"/>
      <c r="B1023" s="42">
        <f>IFERROR(AVERAGE(Data!B1025), "  ")</f>
        <v>298</v>
      </c>
      <c r="C1023" s="42">
        <f>IFERROR(AVERAGE(Data!C1025), "  ")</f>
        <v>37</v>
      </c>
      <c r="D1023" s="42">
        <f>IFERROR(AVERAGE(Data!D1025), "  ")</f>
        <v>17</v>
      </c>
      <c r="E1023" s="42">
        <f>IFERROR(AVERAGE(Data!E1025), "  ")</f>
        <v>352</v>
      </c>
      <c r="F1023" s="42">
        <f>IFERROR(AVERAGE(Data!F1025), "  ")</f>
        <v>575</v>
      </c>
      <c r="G1023" s="42">
        <f>IFERROR(AVERAGE(Data!G1025), "  ")</f>
        <v>223</v>
      </c>
      <c r="H1023" s="44">
        <f>IFERROR(AVERAGE(Data!H1025), "  ")</f>
        <v>-0.21768707482993196</v>
      </c>
      <c r="I1023" s="44">
        <f>IFERROR(AVERAGE(Data!I1025), "  ")</f>
        <v>8.5959885386819486E-3</v>
      </c>
      <c r="J1023" s="42">
        <f>IFERROR(AVERAGE(Data!J1025), "  ")</f>
        <v>3</v>
      </c>
      <c r="K1023" s="44">
        <f>IFERROR(AVERAGE(Data!K1025), "  ")</f>
        <v>6.0885608856088562E-2</v>
      </c>
      <c r="L1023" s="45">
        <f>IFERROR(AVERAGE(Data!L1025), "  ")</f>
        <v>637.33333333333337</v>
      </c>
    </row>
    <row r="1024" spans="1:12" x14ac:dyDescent="0.2">
      <c r="A1024" s="43"/>
      <c r="B1024" s="42" t="str">
        <f>IFERROR(AVERAGE(Data!B1026), "  ")</f>
        <v xml:space="preserve">  </v>
      </c>
      <c r="C1024" s="42" t="str">
        <f>IFERROR(AVERAGE(Data!C1026), "  ")</f>
        <v xml:space="preserve">  </v>
      </c>
      <c r="D1024" s="42" t="str">
        <f>IFERROR(AVERAGE(Data!D1026), "  ")</f>
        <v xml:space="preserve">  </v>
      </c>
      <c r="E1024" s="42" t="str">
        <f>IFERROR(AVERAGE(Data!E1026), "  ")</f>
        <v xml:space="preserve">  </v>
      </c>
      <c r="F1024" s="42" t="str">
        <f>IFERROR(AVERAGE(Data!F1026), "  ")</f>
        <v xml:space="preserve">  </v>
      </c>
      <c r="G1024" s="42" t="str">
        <f>IFERROR(AVERAGE(Data!G1026), "  ")</f>
        <v xml:space="preserve">  </v>
      </c>
      <c r="H1024" s="44" t="str">
        <f>IFERROR(AVERAGE(Data!H1026), "  ")</f>
        <v xml:space="preserve">  </v>
      </c>
      <c r="I1024" s="44" t="str">
        <f>IFERROR(AVERAGE(Data!I1026), "  ")</f>
        <v xml:space="preserve">  </v>
      </c>
      <c r="J1024" s="42" t="str">
        <f>IFERROR(AVERAGE(Data!J1026), "  ")</f>
        <v xml:space="preserve">  </v>
      </c>
      <c r="K1024" s="44" t="str">
        <f>IFERROR(AVERAGE(Data!K1026), "  ")</f>
        <v xml:space="preserve">  </v>
      </c>
      <c r="L1024" s="45" t="str">
        <f>IFERROR(AVERAGE(Data!L1026), "  ")</f>
        <v xml:space="preserve">  </v>
      </c>
    </row>
    <row r="1025" spans="1:12" x14ac:dyDescent="0.2">
      <c r="A1025" s="43"/>
      <c r="B1025" s="42" t="str">
        <f>IFERROR(AVERAGE(Data!B1027), "  ")</f>
        <v xml:space="preserve">  </v>
      </c>
      <c r="C1025" s="42" t="str">
        <f>IFERROR(AVERAGE(Data!C1027), "  ")</f>
        <v xml:space="preserve">  </v>
      </c>
      <c r="D1025" s="42" t="str">
        <f>IFERROR(AVERAGE(Data!D1027), "  ")</f>
        <v xml:space="preserve">  </v>
      </c>
      <c r="E1025" s="42" t="str">
        <f>IFERROR(AVERAGE(Data!E1027), "  ")</f>
        <v xml:space="preserve">  </v>
      </c>
      <c r="F1025" s="42" t="str">
        <f>IFERROR(AVERAGE(Data!F1027), "  ")</f>
        <v xml:space="preserve">  </v>
      </c>
      <c r="G1025" s="42" t="str">
        <f>IFERROR(AVERAGE(Data!G1027), "  ")</f>
        <v xml:space="preserve">  </v>
      </c>
      <c r="H1025" s="44" t="str">
        <f>IFERROR(AVERAGE(Data!H1027), "  ")</f>
        <v xml:space="preserve">  </v>
      </c>
      <c r="I1025" s="44" t="str">
        <f>IFERROR(AVERAGE(Data!I1027), "  ")</f>
        <v xml:space="preserve">  </v>
      </c>
      <c r="J1025" s="42" t="str">
        <f>IFERROR(AVERAGE(Data!J1027), "  ")</f>
        <v xml:space="preserve">  </v>
      </c>
      <c r="K1025" s="44" t="str">
        <f>IFERROR(AVERAGE(Data!K1027), "  ")</f>
        <v xml:space="preserve">  </v>
      </c>
      <c r="L1025" s="45" t="str">
        <f>IFERROR(AVERAGE(Data!L1027), "  ")</f>
        <v xml:space="preserve">  </v>
      </c>
    </row>
    <row r="1026" spans="1:12" x14ac:dyDescent="0.2">
      <c r="A1026" s="43"/>
      <c r="B1026" s="42" t="str">
        <f>IFERROR(AVERAGE(Data!B1028), "  ")</f>
        <v xml:space="preserve">  </v>
      </c>
      <c r="C1026" s="42" t="str">
        <f>IFERROR(AVERAGE(Data!C1028), "  ")</f>
        <v xml:space="preserve">  </v>
      </c>
      <c r="D1026" s="42" t="str">
        <f>IFERROR(AVERAGE(Data!D1028), "  ")</f>
        <v xml:space="preserve">  </v>
      </c>
      <c r="E1026" s="42" t="str">
        <f>IFERROR(AVERAGE(Data!E1028), "  ")</f>
        <v xml:space="preserve">  </v>
      </c>
      <c r="F1026" s="42" t="str">
        <f>IFERROR(AVERAGE(Data!F1028), "  ")</f>
        <v xml:space="preserve">  </v>
      </c>
      <c r="G1026" s="42" t="str">
        <f>IFERROR(AVERAGE(Data!G1028), "  ")</f>
        <v xml:space="preserve">  </v>
      </c>
      <c r="H1026" s="44" t="str">
        <f>IFERROR(AVERAGE(Data!H1028), "  ")</f>
        <v xml:space="preserve">  </v>
      </c>
      <c r="I1026" s="44" t="str">
        <f>IFERROR(AVERAGE(Data!I1028), "  ")</f>
        <v xml:space="preserve">  </v>
      </c>
      <c r="J1026" s="42" t="str">
        <f>IFERROR(AVERAGE(Data!J1028), "  ")</f>
        <v xml:space="preserve">  </v>
      </c>
      <c r="K1026" s="44" t="str">
        <f>IFERROR(AVERAGE(Data!K1028), "  ")</f>
        <v xml:space="preserve">  </v>
      </c>
      <c r="L1026" s="45" t="str">
        <f>IFERROR(AVERAGE(Data!L1028), "  ")</f>
        <v xml:space="preserve">  </v>
      </c>
    </row>
    <row r="1027" spans="1:12" x14ac:dyDescent="0.2">
      <c r="A1027" s="43"/>
      <c r="B1027" s="42" t="str">
        <f>IFERROR(AVERAGE(Data!B1029), "  ")</f>
        <v xml:space="preserve">  </v>
      </c>
      <c r="C1027" s="42" t="str">
        <f>IFERROR(AVERAGE(Data!C1029), "  ")</f>
        <v xml:space="preserve">  </v>
      </c>
      <c r="D1027" s="42" t="str">
        <f>IFERROR(AVERAGE(Data!D1029), "  ")</f>
        <v xml:space="preserve">  </v>
      </c>
      <c r="E1027" s="42" t="str">
        <f>IFERROR(AVERAGE(Data!E1029), "  ")</f>
        <v xml:space="preserve">  </v>
      </c>
      <c r="F1027" s="42" t="str">
        <f>IFERROR(AVERAGE(Data!F1029), "  ")</f>
        <v xml:space="preserve">  </v>
      </c>
      <c r="G1027" s="42" t="str">
        <f>IFERROR(AVERAGE(Data!G1029), "  ")</f>
        <v xml:space="preserve">  </v>
      </c>
      <c r="H1027" s="44" t="str">
        <f>IFERROR(AVERAGE(Data!H1029), "  ")</f>
        <v xml:space="preserve">  </v>
      </c>
      <c r="I1027" s="44" t="str">
        <f>IFERROR(AVERAGE(Data!I1029), "  ")</f>
        <v xml:space="preserve">  </v>
      </c>
      <c r="J1027" s="42" t="str">
        <f>IFERROR(AVERAGE(Data!J1029), "  ")</f>
        <v xml:space="preserve">  </v>
      </c>
      <c r="K1027" s="44" t="str">
        <f>IFERROR(AVERAGE(Data!K1029), "  ")</f>
        <v xml:space="preserve">  </v>
      </c>
      <c r="L1027" s="45" t="str">
        <f>IFERROR(AVERAGE(Data!L1029), "  ")</f>
        <v xml:space="preserve">  </v>
      </c>
    </row>
    <row r="1028" spans="1:12" x14ac:dyDescent="0.2">
      <c r="A1028" s="43"/>
      <c r="B1028" s="42" t="str">
        <f>IFERROR(AVERAGE(Data!B1030), "  ")</f>
        <v xml:space="preserve">  </v>
      </c>
      <c r="C1028" s="42" t="str">
        <f>IFERROR(AVERAGE(Data!C1030), "  ")</f>
        <v xml:space="preserve">  </v>
      </c>
      <c r="D1028" s="42" t="str">
        <f>IFERROR(AVERAGE(Data!D1030), "  ")</f>
        <v xml:space="preserve">  </v>
      </c>
      <c r="E1028" s="42" t="str">
        <f>IFERROR(AVERAGE(Data!E1030), "  ")</f>
        <v xml:space="preserve">  </v>
      </c>
      <c r="F1028" s="42" t="str">
        <f>IFERROR(AVERAGE(Data!F1030), "  ")</f>
        <v xml:space="preserve">  </v>
      </c>
      <c r="G1028" s="42" t="str">
        <f>IFERROR(AVERAGE(Data!G1030), "  ")</f>
        <v xml:space="preserve">  </v>
      </c>
      <c r="H1028" s="44" t="str">
        <f>IFERROR(AVERAGE(Data!H1030), "  ")</f>
        <v xml:space="preserve">  </v>
      </c>
      <c r="I1028" s="44" t="str">
        <f>IFERROR(AVERAGE(Data!I1030), "  ")</f>
        <v xml:space="preserve">  </v>
      </c>
      <c r="J1028" s="42" t="str">
        <f>IFERROR(AVERAGE(Data!J1030), "  ")</f>
        <v xml:space="preserve">  </v>
      </c>
      <c r="K1028" s="44" t="str">
        <f>IFERROR(AVERAGE(Data!K1030), "  ")</f>
        <v xml:space="preserve">  </v>
      </c>
      <c r="L1028" s="45" t="str">
        <f>IFERROR(AVERAGE(Data!L1030), "  ")</f>
        <v xml:space="preserve">  </v>
      </c>
    </row>
    <row r="1029" spans="1:12" x14ac:dyDescent="0.2">
      <c r="A1029" s="43"/>
      <c r="B1029" s="42" t="str">
        <f>IFERROR(AVERAGE(Data!B1031), "  ")</f>
        <v xml:space="preserve">  </v>
      </c>
      <c r="C1029" s="42" t="str">
        <f>IFERROR(AVERAGE(Data!C1031), "  ")</f>
        <v xml:space="preserve">  </v>
      </c>
      <c r="D1029" s="42" t="str">
        <f>IFERROR(AVERAGE(Data!D1031), "  ")</f>
        <v xml:space="preserve">  </v>
      </c>
      <c r="E1029" s="42" t="str">
        <f>IFERROR(AVERAGE(Data!E1031), "  ")</f>
        <v xml:space="preserve">  </v>
      </c>
      <c r="F1029" s="42" t="str">
        <f>IFERROR(AVERAGE(Data!F1031), "  ")</f>
        <v xml:space="preserve">  </v>
      </c>
      <c r="G1029" s="42" t="str">
        <f>IFERROR(AVERAGE(Data!G1031), "  ")</f>
        <v xml:space="preserve">  </v>
      </c>
      <c r="H1029" s="44" t="str">
        <f>IFERROR(AVERAGE(Data!H1031), "  ")</f>
        <v xml:space="preserve">  </v>
      </c>
      <c r="I1029" s="44" t="str">
        <f>IFERROR(AVERAGE(Data!I1031), "  ")</f>
        <v xml:space="preserve">  </v>
      </c>
      <c r="J1029" s="42" t="str">
        <f>IFERROR(AVERAGE(Data!J1031), "  ")</f>
        <v xml:space="preserve">  </v>
      </c>
      <c r="K1029" s="44" t="str">
        <f>IFERROR(AVERAGE(Data!K1031), "  ")</f>
        <v xml:space="preserve">  </v>
      </c>
      <c r="L1029" s="45" t="str">
        <f>IFERROR(AVERAGE(Data!L1031), "  ")</f>
        <v xml:space="preserve">  </v>
      </c>
    </row>
    <row r="1030" spans="1:12" x14ac:dyDescent="0.2">
      <c r="A1030" s="43"/>
      <c r="B1030" s="42" t="str">
        <f>IFERROR(AVERAGE(Data!B1032), "  ")</f>
        <v xml:space="preserve">  </v>
      </c>
      <c r="C1030" s="42" t="str">
        <f>IFERROR(AVERAGE(Data!C1032), "  ")</f>
        <v xml:space="preserve">  </v>
      </c>
      <c r="D1030" s="42" t="str">
        <f>IFERROR(AVERAGE(Data!D1032), "  ")</f>
        <v xml:space="preserve">  </v>
      </c>
      <c r="E1030" s="42" t="str">
        <f>IFERROR(AVERAGE(Data!E1032), "  ")</f>
        <v xml:space="preserve">  </v>
      </c>
      <c r="F1030" s="42" t="str">
        <f>IFERROR(AVERAGE(Data!F1032), "  ")</f>
        <v xml:space="preserve">  </v>
      </c>
      <c r="G1030" s="42" t="str">
        <f>IFERROR(AVERAGE(Data!G1032), "  ")</f>
        <v xml:space="preserve">  </v>
      </c>
      <c r="H1030" s="44" t="str">
        <f>IFERROR(AVERAGE(Data!H1032), "  ")</f>
        <v xml:space="preserve">  </v>
      </c>
      <c r="I1030" s="44" t="str">
        <f>IFERROR(AVERAGE(Data!I1032), "  ")</f>
        <v xml:space="preserve">  </v>
      </c>
      <c r="J1030" s="42" t="str">
        <f>IFERROR(AVERAGE(Data!J1032), "  ")</f>
        <v xml:space="preserve">  </v>
      </c>
      <c r="K1030" s="44" t="str">
        <f>IFERROR(AVERAGE(Data!K1032), "  ")</f>
        <v xml:space="preserve">  </v>
      </c>
      <c r="L1030" s="45" t="str">
        <f>IFERROR(AVERAGE(Data!L1032), "  ")</f>
        <v xml:space="preserve">  </v>
      </c>
    </row>
    <row r="1031" spans="1:12" x14ac:dyDescent="0.2">
      <c r="A1031" s="43"/>
      <c r="B1031" s="42" t="str">
        <f>IFERROR(AVERAGE(Data!B1033), "  ")</f>
        <v xml:space="preserve">  </v>
      </c>
      <c r="C1031" s="42" t="str">
        <f>IFERROR(AVERAGE(Data!C1033), "  ")</f>
        <v xml:space="preserve">  </v>
      </c>
      <c r="D1031" s="42" t="str">
        <f>IFERROR(AVERAGE(Data!D1033), "  ")</f>
        <v xml:space="preserve">  </v>
      </c>
      <c r="E1031" s="42" t="str">
        <f>IFERROR(AVERAGE(Data!E1033), "  ")</f>
        <v xml:space="preserve">  </v>
      </c>
      <c r="F1031" s="42" t="str">
        <f>IFERROR(AVERAGE(Data!F1033), "  ")</f>
        <v xml:space="preserve">  </v>
      </c>
      <c r="G1031" s="42" t="str">
        <f>IFERROR(AVERAGE(Data!G1033), "  ")</f>
        <v xml:space="preserve">  </v>
      </c>
      <c r="H1031" s="44" t="str">
        <f>IFERROR(AVERAGE(Data!H1033), "  ")</f>
        <v xml:space="preserve">  </v>
      </c>
      <c r="I1031" s="44" t="str">
        <f>IFERROR(AVERAGE(Data!I1033), "  ")</f>
        <v xml:space="preserve">  </v>
      </c>
      <c r="J1031" s="42" t="str">
        <f>IFERROR(AVERAGE(Data!J1033), "  ")</f>
        <v xml:space="preserve">  </v>
      </c>
      <c r="K1031" s="44" t="str">
        <f>IFERROR(AVERAGE(Data!K1033), "  ")</f>
        <v xml:space="preserve">  </v>
      </c>
      <c r="L1031" s="45" t="str">
        <f>IFERROR(AVERAGE(Data!L1033), "  ")</f>
        <v xml:space="preserve">  </v>
      </c>
    </row>
    <row r="1032" spans="1:12" x14ac:dyDescent="0.2">
      <c r="A1032" s="43"/>
      <c r="B1032" s="42" t="str">
        <f>IFERROR(AVERAGE(Data!B1034), "  ")</f>
        <v xml:space="preserve">  </v>
      </c>
      <c r="C1032" s="42" t="str">
        <f>IFERROR(AVERAGE(Data!C1034), "  ")</f>
        <v xml:space="preserve">  </v>
      </c>
      <c r="D1032" s="42" t="str">
        <f>IFERROR(AVERAGE(Data!D1034), "  ")</f>
        <v xml:space="preserve">  </v>
      </c>
      <c r="E1032" s="42" t="str">
        <f>IFERROR(AVERAGE(Data!E1034), "  ")</f>
        <v xml:space="preserve">  </v>
      </c>
      <c r="F1032" s="42" t="str">
        <f>IFERROR(AVERAGE(Data!F1034), "  ")</f>
        <v xml:space="preserve">  </v>
      </c>
      <c r="G1032" s="42" t="str">
        <f>IFERROR(AVERAGE(Data!G1034), "  ")</f>
        <v xml:space="preserve">  </v>
      </c>
      <c r="H1032" s="44" t="str">
        <f>IFERROR(AVERAGE(Data!H1034), "  ")</f>
        <v xml:space="preserve">  </v>
      </c>
      <c r="I1032" s="44" t="str">
        <f>IFERROR(AVERAGE(Data!I1034), "  ")</f>
        <v xml:space="preserve">  </v>
      </c>
      <c r="J1032" s="42" t="str">
        <f>IFERROR(AVERAGE(Data!J1034), "  ")</f>
        <v xml:space="preserve">  </v>
      </c>
      <c r="K1032" s="44" t="str">
        <f>IFERROR(AVERAGE(Data!K1034), "  ")</f>
        <v xml:space="preserve">  </v>
      </c>
      <c r="L1032" s="45" t="str">
        <f>IFERROR(AVERAGE(Data!L1034), "  ")</f>
        <v xml:space="preserve">  </v>
      </c>
    </row>
    <row r="1033" spans="1:12" x14ac:dyDescent="0.2">
      <c r="A1033" s="43"/>
      <c r="B1033" s="42" t="str">
        <f>IFERROR(AVERAGE(Data!B1035), "  ")</f>
        <v xml:space="preserve">  </v>
      </c>
      <c r="C1033" s="42" t="str">
        <f>IFERROR(AVERAGE(Data!C1035), "  ")</f>
        <v xml:space="preserve">  </v>
      </c>
      <c r="D1033" s="42" t="str">
        <f>IFERROR(AVERAGE(Data!D1035), "  ")</f>
        <v xml:space="preserve">  </v>
      </c>
      <c r="E1033" s="42" t="str">
        <f>IFERROR(AVERAGE(Data!E1035), "  ")</f>
        <v xml:space="preserve">  </v>
      </c>
      <c r="F1033" s="42" t="str">
        <f>IFERROR(AVERAGE(Data!F1035), "  ")</f>
        <v xml:space="preserve">  </v>
      </c>
      <c r="G1033" s="42" t="str">
        <f>IFERROR(AVERAGE(Data!G1035), "  ")</f>
        <v xml:space="preserve">  </v>
      </c>
      <c r="H1033" s="44" t="str">
        <f>IFERROR(AVERAGE(Data!H1035), "  ")</f>
        <v xml:space="preserve">  </v>
      </c>
      <c r="I1033" s="44" t="str">
        <f>IFERROR(AVERAGE(Data!I1035), "  ")</f>
        <v xml:space="preserve">  </v>
      </c>
      <c r="J1033" s="42" t="str">
        <f>IFERROR(AVERAGE(Data!J1035), "  ")</f>
        <v xml:space="preserve">  </v>
      </c>
      <c r="K1033" s="44" t="str">
        <f>IFERROR(AVERAGE(Data!K1035), "  ")</f>
        <v xml:space="preserve">  </v>
      </c>
      <c r="L1033" s="45" t="str">
        <f>IFERROR(AVERAGE(Data!L1035), "  ")</f>
        <v xml:space="preserve">  </v>
      </c>
    </row>
    <row r="1034" spans="1:12" x14ac:dyDescent="0.2">
      <c r="A1034" s="43"/>
      <c r="B1034" s="42" t="str">
        <f>IFERROR(AVERAGE(Data!B1036), "  ")</f>
        <v xml:space="preserve">  </v>
      </c>
      <c r="C1034" s="42" t="str">
        <f>IFERROR(AVERAGE(Data!C1036), "  ")</f>
        <v xml:space="preserve">  </v>
      </c>
      <c r="D1034" s="42" t="str">
        <f>IFERROR(AVERAGE(Data!D1036), "  ")</f>
        <v xml:space="preserve">  </v>
      </c>
      <c r="E1034" s="42" t="str">
        <f>IFERROR(AVERAGE(Data!E1036), "  ")</f>
        <v xml:space="preserve">  </v>
      </c>
      <c r="F1034" s="42" t="str">
        <f>IFERROR(AVERAGE(Data!F1036), "  ")</f>
        <v xml:space="preserve">  </v>
      </c>
      <c r="G1034" s="42" t="str">
        <f>IFERROR(AVERAGE(Data!G1036), "  ")</f>
        <v xml:space="preserve">  </v>
      </c>
      <c r="H1034" s="44" t="str">
        <f>IFERROR(AVERAGE(Data!H1036), "  ")</f>
        <v xml:space="preserve">  </v>
      </c>
      <c r="I1034" s="44" t="str">
        <f>IFERROR(AVERAGE(Data!I1036), "  ")</f>
        <v xml:space="preserve">  </v>
      </c>
      <c r="J1034" s="42" t="str">
        <f>IFERROR(AVERAGE(Data!J1036), "  ")</f>
        <v xml:space="preserve">  </v>
      </c>
      <c r="K1034" s="44" t="str">
        <f>IFERROR(AVERAGE(Data!K1036), "  ")</f>
        <v xml:space="preserve">  </v>
      </c>
      <c r="L1034" s="45" t="str">
        <f>IFERROR(AVERAGE(Data!L1036), "  ")</f>
        <v xml:space="preserve">  </v>
      </c>
    </row>
    <row r="1035" spans="1:12" x14ac:dyDescent="0.2">
      <c r="A1035" s="43"/>
      <c r="B1035" s="42" t="str">
        <f>IFERROR(AVERAGE(Data!B1037), "  ")</f>
        <v xml:space="preserve">  </v>
      </c>
      <c r="C1035" s="42" t="str">
        <f>IFERROR(AVERAGE(Data!C1037), "  ")</f>
        <v xml:space="preserve">  </v>
      </c>
      <c r="D1035" s="42" t="str">
        <f>IFERROR(AVERAGE(Data!D1037), "  ")</f>
        <v xml:space="preserve">  </v>
      </c>
      <c r="E1035" s="42" t="str">
        <f>IFERROR(AVERAGE(Data!E1037), "  ")</f>
        <v xml:space="preserve">  </v>
      </c>
      <c r="F1035" s="42" t="str">
        <f>IFERROR(AVERAGE(Data!F1037), "  ")</f>
        <v xml:space="preserve">  </v>
      </c>
      <c r="G1035" s="42" t="str">
        <f>IFERROR(AVERAGE(Data!G1037), "  ")</f>
        <v xml:space="preserve">  </v>
      </c>
      <c r="H1035" s="44" t="str">
        <f>IFERROR(AVERAGE(Data!H1037), "  ")</f>
        <v xml:space="preserve">  </v>
      </c>
      <c r="I1035" s="44" t="str">
        <f>IFERROR(AVERAGE(Data!I1037), "  ")</f>
        <v xml:space="preserve">  </v>
      </c>
      <c r="J1035" s="42" t="str">
        <f>IFERROR(AVERAGE(Data!J1037), "  ")</f>
        <v xml:space="preserve">  </v>
      </c>
      <c r="K1035" s="44" t="str">
        <f>IFERROR(AVERAGE(Data!K1037), "  ")</f>
        <v xml:space="preserve">  </v>
      </c>
      <c r="L1035" s="45" t="str">
        <f>IFERROR(AVERAGE(Data!L1037), "  ")</f>
        <v xml:space="preserve">  </v>
      </c>
    </row>
    <row r="1036" spans="1:12" x14ac:dyDescent="0.2">
      <c r="A1036" s="43"/>
      <c r="B1036" s="42" t="str">
        <f>IFERROR(AVERAGE(Data!B1038), "  ")</f>
        <v xml:space="preserve">  </v>
      </c>
      <c r="C1036" s="42" t="str">
        <f>IFERROR(AVERAGE(Data!C1038), "  ")</f>
        <v xml:space="preserve">  </v>
      </c>
      <c r="D1036" s="42" t="str">
        <f>IFERROR(AVERAGE(Data!D1038), "  ")</f>
        <v xml:space="preserve">  </v>
      </c>
      <c r="E1036" s="42" t="str">
        <f>IFERROR(AVERAGE(Data!E1038), "  ")</f>
        <v xml:space="preserve">  </v>
      </c>
      <c r="F1036" s="42" t="str">
        <f>IFERROR(AVERAGE(Data!F1038), "  ")</f>
        <v xml:space="preserve">  </v>
      </c>
      <c r="G1036" s="42" t="str">
        <f>IFERROR(AVERAGE(Data!G1038), "  ")</f>
        <v xml:space="preserve">  </v>
      </c>
      <c r="H1036" s="44" t="str">
        <f>IFERROR(AVERAGE(Data!H1038), "  ")</f>
        <v xml:space="preserve">  </v>
      </c>
      <c r="I1036" s="44" t="str">
        <f>IFERROR(AVERAGE(Data!I1038), "  ")</f>
        <v xml:space="preserve">  </v>
      </c>
      <c r="J1036" s="42" t="str">
        <f>IFERROR(AVERAGE(Data!J1038), "  ")</f>
        <v xml:space="preserve">  </v>
      </c>
      <c r="K1036" s="44" t="str">
        <f>IFERROR(AVERAGE(Data!K1038), "  ")</f>
        <v xml:space="preserve">  </v>
      </c>
      <c r="L1036" s="45" t="str">
        <f>IFERROR(AVERAGE(Data!L1038), "  ")</f>
        <v xml:space="preserve">  </v>
      </c>
    </row>
    <row r="1037" spans="1:12" x14ac:dyDescent="0.2">
      <c r="A1037" s="43"/>
      <c r="B1037" s="42" t="str">
        <f>IFERROR(AVERAGE(Data!B1039), "  ")</f>
        <v xml:space="preserve">  </v>
      </c>
      <c r="C1037" s="42" t="str">
        <f>IFERROR(AVERAGE(Data!C1039), "  ")</f>
        <v xml:space="preserve">  </v>
      </c>
      <c r="D1037" s="42" t="str">
        <f>IFERROR(AVERAGE(Data!D1039), "  ")</f>
        <v xml:space="preserve">  </v>
      </c>
      <c r="E1037" s="42" t="str">
        <f>IFERROR(AVERAGE(Data!E1039), "  ")</f>
        <v xml:space="preserve">  </v>
      </c>
      <c r="F1037" s="42" t="str">
        <f>IFERROR(AVERAGE(Data!F1039), "  ")</f>
        <v xml:space="preserve">  </v>
      </c>
      <c r="G1037" s="42" t="str">
        <f>IFERROR(AVERAGE(Data!G1039), "  ")</f>
        <v xml:space="preserve">  </v>
      </c>
      <c r="H1037" s="44" t="str">
        <f>IFERROR(AVERAGE(Data!H1039), "  ")</f>
        <v xml:space="preserve">  </v>
      </c>
      <c r="I1037" s="44" t="str">
        <f>IFERROR(AVERAGE(Data!I1039), "  ")</f>
        <v xml:space="preserve">  </v>
      </c>
      <c r="J1037" s="42" t="str">
        <f>IFERROR(AVERAGE(Data!J1039), "  ")</f>
        <v xml:space="preserve">  </v>
      </c>
      <c r="K1037" s="44" t="str">
        <f>IFERROR(AVERAGE(Data!K1039), "  ")</f>
        <v xml:space="preserve">  </v>
      </c>
      <c r="L1037" s="45" t="str">
        <f>IFERROR(AVERAGE(Data!L1039), "  ")</f>
        <v xml:space="preserve">  </v>
      </c>
    </row>
    <row r="1038" spans="1:12" x14ac:dyDescent="0.2">
      <c r="A1038" s="43"/>
      <c r="B1038" s="42" t="str">
        <f>IFERROR(AVERAGE(Data!B1040), "  ")</f>
        <v xml:space="preserve">  </v>
      </c>
      <c r="C1038" s="42" t="str">
        <f>IFERROR(AVERAGE(Data!C1040), "  ")</f>
        <v xml:space="preserve">  </v>
      </c>
      <c r="D1038" s="42" t="str">
        <f>IFERROR(AVERAGE(Data!D1040), "  ")</f>
        <v xml:space="preserve">  </v>
      </c>
      <c r="E1038" s="42" t="str">
        <f>IFERROR(AVERAGE(Data!E1040), "  ")</f>
        <v xml:space="preserve">  </v>
      </c>
      <c r="F1038" s="42" t="str">
        <f>IFERROR(AVERAGE(Data!F1040), "  ")</f>
        <v xml:space="preserve">  </v>
      </c>
      <c r="G1038" s="42" t="str">
        <f>IFERROR(AVERAGE(Data!G1040), "  ")</f>
        <v xml:space="preserve">  </v>
      </c>
      <c r="H1038" s="44" t="str">
        <f>IFERROR(AVERAGE(Data!H1040), "  ")</f>
        <v xml:space="preserve">  </v>
      </c>
      <c r="I1038" s="44" t="str">
        <f>IFERROR(AVERAGE(Data!I1040), "  ")</f>
        <v xml:space="preserve">  </v>
      </c>
      <c r="J1038" s="42" t="str">
        <f>IFERROR(AVERAGE(Data!J1040), "  ")</f>
        <v xml:space="preserve">  </v>
      </c>
      <c r="K1038" s="44" t="str">
        <f>IFERROR(AVERAGE(Data!K1040), "  ")</f>
        <v xml:space="preserve">  </v>
      </c>
      <c r="L1038" s="45" t="str">
        <f>IFERROR(AVERAGE(Data!L1040), "  ")</f>
        <v xml:space="preserve">  </v>
      </c>
    </row>
    <row r="1039" spans="1:12" x14ac:dyDescent="0.2">
      <c r="A1039" s="43"/>
      <c r="B1039" s="42" t="str">
        <f>IFERROR(AVERAGE(Data!B1041), "  ")</f>
        <v xml:space="preserve">  </v>
      </c>
      <c r="C1039" s="42" t="str">
        <f>IFERROR(AVERAGE(Data!C1041), "  ")</f>
        <v xml:space="preserve">  </v>
      </c>
      <c r="D1039" s="42" t="str">
        <f>IFERROR(AVERAGE(Data!D1041), "  ")</f>
        <v xml:space="preserve">  </v>
      </c>
      <c r="E1039" s="42" t="str">
        <f>IFERROR(AVERAGE(Data!E1041), "  ")</f>
        <v xml:space="preserve">  </v>
      </c>
      <c r="F1039" s="42" t="str">
        <f>IFERROR(AVERAGE(Data!F1041), "  ")</f>
        <v xml:space="preserve">  </v>
      </c>
      <c r="G1039" s="42" t="str">
        <f>IFERROR(AVERAGE(Data!G1041), "  ")</f>
        <v xml:space="preserve">  </v>
      </c>
      <c r="H1039" s="44" t="str">
        <f>IFERROR(AVERAGE(Data!H1041), "  ")</f>
        <v xml:space="preserve">  </v>
      </c>
      <c r="I1039" s="44" t="str">
        <f>IFERROR(AVERAGE(Data!I1041), "  ")</f>
        <v xml:space="preserve">  </v>
      </c>
      <c r="J1039" s="42" t="str">
        <f>IFERROR(AVERAGE(Data!J1041), "  ")</f>
        <v xml:space="preserve">  </v>
      </c>
      <c r="K1039" s="44" t="str">
        <f>IFERROR(AVERAGE(Data!K1041), "  ")</f>
        <v xml:space="preserve">  </v>
      </c>
      <c r="L1039" s="45" t="str">
        <f>IFERROR(AVERAGE(Data!L1041), "  ")</f>
        <v xml:space="preserve">  </v>
      </c>
    </row>
    <row r="1040" spans="1:12" x14ac:dyDescent="0.2">
      <c r="A1040" s="43"/>
      <c r="B1040" s="42" t="str">
        <f>IFERROR(AVERAGE(Data!B1042), "  ")</f>
        <v xml:space="preserve">  </v>
      </c>
      <c r="C1040" s="42" t="str">
        <f>IFERROR(AVERAGE(Data!C1042), "  ")</f>
        <v xml:space="preserve">  </v>
      </c>
      <c r="D1040" s="42" t="str">
        <f>IFERROR(AVERAGE(Data!D1042), "  ")</f>
        <v xml:space="preserve">  </v>
      </c>
      <c r="E1040" s="42" t="str">
        <f>IFERROR(AVERAGE(Data!E1042), "  ")</f>
        <v xml:space="preserve">  </v>
      </c>
      <c r="F1040" s="42" t="str">
        <f>IFERROR(AVERAGE(Data!F1042), "  ")</f>
        <v xml:space="preserve">  </v>
      </c>
      <c r="G1040" s="42" t="str">
        <f>IFERROR(AVERAGE(Data!G1042), "  ")</f>
        <v xml:space="preserve">  </v>
      </c>
      <c r="H1040" s="44" t="str">
        <f>IFERROR(AVERAGE(Data!H1042), "  ")</f>
        <v xml:space="preserve">  </v>
      </c>
      <c r="I1040" s="44" t="str">
        <f>IFERROR(AVERAGE(Data!I1042), "  ")</f>
        <v xml:space="preserve">  </v>
      </c>
      <c r="J1040" s="42" t="str">
        <f>IFERROR(AVERAGE(Data!J1042), "  ")</f>
        <v xml:space="preserve">  </v>
      </c>
      <c r="K1040" s="44" t="str">
        <f>IFERROR(AVERAGE(Data!K1042), "  ")</f>
        <v xml:space="preserve">  </v>
      </c>
      <c r="L1040" s="45" t="str">
        <f>IFERROR(AVERAGE(Data!L1042), "  ")</f>
        <v xml:space="preserve">  </v>
      </c>
    </row>
    <row r="1041" spans="1:12" x14ac:dyDescent="0.2">
      <c r="A1041" s="43"/>
      <c r="B1041" s="42" t="str">
        <f>IFERROR(AVERAGE(Data!B1043), "  ")</f>
        <v xml:space="preserve">  </v>
      </c>
      <c r="C1041" s="42" t="str">
        <f>IFERROR(AVERAGE(Data!C1043), "  ")</f>
        <v xml:space="preserve">  </v>
      </c>
      <c r="D1041" s="42" t="str">
        <f>IFERROR(AVERAGE(Data!D1043), "  ")</f>
        <v xml:space="preserve">  </v>
      </c>
      <c r="E1041" s="42" t="str">
        <f>IFERROR(AVERAGE(Data!E1043), "  ")</f>
        <v xml:space="preserve">  </v>
      </c>
      <c r="F1041" s="42" t="str">
        <f>IFERROR(AVERAGE(Data!F1043), "  ")</f>
        <v xml:space="preserve">  </v>
      </c>
      <c r="G1041" s="42" t="str">
        <f>IFERROR(AVERAGE(Data!G1043), "  ")</f>
        <v xml:space="preserve">  </v>
      </c>
      <c r="H1041" s="44" t="str">
        <f>IFERROR(AVERAGE(Data!H1043), "  ")</f>
        <v xml:space="preserve">  </v>
      </c>
      <c r="I1041" s="44" t="str">
        <f>IFERROR(AVERAGE(Data!I1043), "  ")</f>
        <v xml:space="preserve">  </v>
      </c>
      <c r="J1041" s="42" t="str">
        <f>IFERROR(AVERAGE(Data!J1043), "  ")</f>
        <v xml:space="preserve">  </v>
      </c>
      <c r="K1041" s="44" t="str">
        <f>IFERROR(AVERAGE(Data!K1043), "  ")</f>
        <v xml:space="preserve">  </v>
      </c>
      <c r="L1041" s="45" t="str">
        <f>IFERROR(AVERAGE(Data!L1043), "  ")</f>
        <v xml:space="preserve">  </v>
      </c>
    </row>
    <row r="1042" spans="1:12" x14ac:dyDescent="0.2">
      <c r="A1042" s="43"/>
      <c r="B1042" s="42" t="str">
        <f>IFERROR(AVERAGE(Data!B1044), "  ")</f>
        <v xml:space="preserve">  </v>
      </c>
      <c r="C1042" s="42" t="str">
        <f>IFERROR(AVERAGE(Data!C1044), "  ")</f>
        <v xml:space="preserve">  </v>
      </c>
      <c r="D1042" s="42" t="str">
        <f>IFERROR(AVERAGE(Data!D1044), "  ")</f>
        <v xml:space="preserve">  </v>
      </c>
      <c r="E1042" s="42" t="str">
        <f>IFERROR(AVERAGE(Data!E1044), "  ")</f>
        <v xml:space="preserve">  </v>
      </c>
      <c r="F1042" s="42" t="str">
        <f>IFERROR(AVERAGE(Data!F1044), "  ")</f>
        <v xml:space="preserve">  </v>
      </c>
      <c r="G1042" s="42" t="str">
        <f>IFERROR(AVERAGE(Data!G1044), "  ")</f>
        <v xml:space="preserve">  </v>
      </c>
      <c r="H1042" s="44" t="str">
        <f>IFERROR(AVERAGE(Data!H1044), "  ")</f>
        <v xml:space="preserve">  </v>
      </c>
      <c r="I1042" s="44" t="str">
        <f>IFERROR(AVERAGE(Data!I1044), "  ")</f>
        <v xml:space="preserve">  </v>
      </c>
      <c r="J1042" s="42" t="str">
        <f>IFERROR(AVERAGE(Data!J1044), "  ")</f>
        <v xml:space="preserve">  </v>
      </c>
      <c r="K1042" s="44" t="str">
        <f>IFERROR(AVERAGE(Data!K1044), "  ")</f>
        <v xml:space="preserve">  </v>
      </c>
      <c r="L1042" s="45" t="str">
        <f>IFERROR(AVERAGE(Data!L1044), "  ")</f>
        <v xml:space="preserve">  </v>
      </c>
    </row>
    <row r="1043" spans="1:12" x14ac:dyDescent="0.2">
      <c r="A1043" s="43"/>
      <c r="B1043" s="42" t="str">
        <f>IFERROR(AVERAGE(Data!B1045), "  ")</f>
        <v xml:space="preserve">  </v>
      </c>
      <c r="C1043" s="42" t="str">
        <f>IFERROR(AVERAGE(Data!C1045), "  ")</f>
        <v xml:space="preserve">  </v>
      </c>
      <c r="D1043" s="42" t="str">
        <f>IFERROR(AVERAGE(Data!D1045), "  ")</f>
        <v xml:space="preserve">  </v>
      </c>
      <c r="E1043" s="42" t="str">
        <f>IFERROR(AVERAGE(Data!E1045), "  ")</f>
        <v xml:space="preserve">  </v>
      </c>
      <c r="F1043" s="42" t="str">
        <f>IFERROR(AVERAGE(Data!F1045), "  ")</f>
        <v xml:space="preserve">  </v>
      </c>
      <c r="G1043" s="42" t="str">
        <f>IFERROR(AVERAGE(Data!G1045), "  ")</f>
        <v xml:space="preserve">  </v>
      </c>
      <c r="H1043" s="44" t="str">
        <f>IFERROR(AVERAGE(Data!H1045), "  ")</f>
        <v xml:space="preserve">  </v>
      </c>
      <c r="I1043" s="44" t="str">
        <f>IFERROR(AVERAGE(Data!I1045), "  ")</f>
        <v xml:space="preserve">  </v>
      </c>
      <c r="J1043" s="42" t="str">
        <f>IFERROR(AVERAGE(Data!J1045), "  ")</f>
        <v xml:space="preserve">  </v>
      </c>
      <c r="K1043" s="44" t="str">
        <f>IFERROR(AVERAGE(Data!K1045), "  ")</f>
        <v xml:space="preserve">  </v>
      </c>
      <c r="L1043" s="45" t="str">
        <f>IFERROR(AVERAGE(Data!L1045), "  ")</f>
        <v xml:space="preserve">  </v>
      </c>
    </row>
    <row r="1044" spans="1:12" x14ac:dyDescent="0.2">
      <c r="A1044" s="43"/>
      <c r="B1044" s="42" t="str">
        <f>IFERROR(AVERAGE(Data!B1046), "  ")</f>
        <v xml:space="preserve">  </v>
      </c>
      <c r="C1044" s="42" t="str">
        <f>IFERROR(AVERAGE(Data!C1046), "  ")</f>
        <v xml:space="preserve">  </v>
      </c>
      <c r="D1044" s="42" t="str">
        <f>IFERROR(AVERAGE(Data!D1046), "  ")</f>
        <v xml:space="preserve">  </v>
      </c>
      <c r="E1044" s="42" t="str">
        <f>IFERROR(AVERAGE(Data!E1046), "  ")</f>
        <v xml:space="preserve">  </v>
      </c>
      <c r="F1044" s="42" t="str">
        <f>IFERROR(AVERAGE(Data!F1046), "  ")</f>
        <v xml:space="preserve">  </v>
      </c>
      <c r="G1044" s="42" t="str">
        <f>IFERROR(AVERAGE(Data!G1046), "  ")</f>
        <v xml:space="preserve">  </v>
      </c>
      <c r="H1044" s="44" t="str">
        <f>IFERROR(AVERAGE(Data!H1046), "  ")</f>
        <v xml:space="preserve">  </v>
      </c>
      <c r="I1044" s="44" t="str">
        <f>IFERROR(AVERAGE(Data!I1046), "  ")</f>
        <v xml:space="preserve">  </v>
      </c>
      <c r="J1044" s="42" t="str">
        <f>IFERROR(AVERAGE(Data!J1046), "  ")</f>
        <v xml:space="preserve">  </v>
      </c>
      <c r="K1044" s="44" t="str">
        <f>IFERROR(AVERAGE(Data!K1046), "  ")</f>
        <v xml:space="preserve">  </v>
      </c>
      <c r="L1044" s="45" t="str">
        <f>IFERROR(AVERAGE(Data!L1046), "  ")</f>
        <v xml:space="preserve">  </v>
      </c>
    </row>
    <row r="1045" spans="1:12" x14ac:dyDescent="0.2">
      <c r="A1045" s="43"/>
      <c r="B1045" s="42" t="str">
        <f>IFERROR(AVERAGE(Data!B1047), "  ")</f>
        <v xml:space="preserve">  </v>
      </c>
      <c r="C1045" s="42" t="str">
        <f>IFERROR(AVERAGE(Data!C1047), "  ")</f>
        <v xml:space="preserve">  </v>
      </c>
      <c r="D1045" s="42" t="str">
        <f>IFERROR(AVERAGE(Data!D1047), "  ")</f>
        <v xml:space="preserve">  </v>
      </c>
      <c r="E1045" s="42" t="str">
        <f>IFERROR(AVERAGE(Data!E1047), "  ")</f>
        <v xml:space="preserve">  </v>
      </c>
      <c r="F1045" s="42" t="str">
        <f>IFERROR(AVERAGE(Data!F1047), "  ")</f>
        <v xml:space="preserve">  </v>
      </c>
      <c r="G1045" s="42" t="str">
        <f>IFERROR(AVERAGE(Data!G1047), "  ")</f>
        <v xml:space="preserve">  </v>
      </c>
      <c r="H1045" s="44" t="str">
        <f>IFERROR(AVERAGE(Data!H1047), "  ")</f>
        <v xml:space="preserve">  </v>
      </c>
      <c r="I1045" s="44" t="str">
        <f>IFERROR(AVERAGE(Data!I1047), "  ")</f>
        <v xml:space="preserve">  </v>
      </c>
      <c r="J1045" s="42" t="str">
        <f>IFERROR(AVERAGE(Data!J1047), "  ")</f>
        <v xml:space="preserve">  </v>
      </c>
      <c r="K1045" s="44" t="str">
        <f>IFERROR(AVERAGE(Data!K1047), "  ")</f>
        <v xml:space="preserve">  </v>
      </c>
      <c r="L1045" s="45" t="str">
        <f>IFERROR(AVERAGE(Data!L1047), "  ")</f>
        <v xml:space="preserve">  </v>
      </c>
    </row>
    <row r="1046" spans="1:12" x14ac:dyDescent="0.2">
      <c r="A1046" s="43"/>
      <c r="B1046" s="42" t="str">
        <f>IFERROR(AVERAGE(Data!B1048), "  ")</f>
        <v xml:space="preserve">  </v>
      </c>
      <c r="C1046" s="42" t="str">
        <f>IFERROR(AVERAGE(Data!C1048), "  ")</f>
        <v xml:space="preserve">  </v>
      </c>
      <c r="D1046" s="42" t="str">
        <f>IFERROR(AVERAGE(Data!D1048), "  ")</f>
        <v xml:space="preserve">  </v>
      </c>
      <c r="E1046" s="42" t="str">
        <f>IFERROR(AVERAGE(Data!E1048), "  ")</f>
        <v xml:space="preserve">  </v>
      </c>
      <c r="F1046" s="42" t="str">
        <f>IFERROR(AVERAGE(Data!F1048), "  ")</f>
        <v xml:space="preserve">  </v>
      </c>
      <c r="G1046" s="42" t="str">
        <f>IFERROR(AVERAGE(Data!G1048), "  ")</f>
        <v xml:space="preserve">  </v>
      </c>
      <c r="H1046" s="44" t="str">
        <f>IFERROR(AVERAGE(Data!H1048), "  ")</f>
        <v xml:space="preserve">  </v>
      </c>
      <c r="I1046" s="44" t="str">
        <f>IFERROR(AVERAGE(Data!I1048), "  ")</f>
        <v xml:space="preserve">  </v>
      </c>
      <c r="J1046" s="42" t="str">
        <f>IFERROR(AVERAGE(Data!J1048), "  ")</f>
        <v xml:space="preserve">  </v>
      </c>
      <c r="K1046" s="44" t="str">
        <f>IFERROR(AVERAGE(Data!K1048), "  ")</f>
        <v xml:space="preserve">  </v>
      </c>
      <c r="L1046" s="45" t="str">
        <f>IFERROR(AVERAGE(Data!L1048), "  ")</f>
        <v xml:space="preserve">  </v>
      </c>
    </row>
    <row r="1047" spans="1:12" x14ac:dyDescent="0.2">
      <c r="A1047" s="43"/>
      <c r="B1047" s="42" t="str">
        <f>IFERROR(AVERAGE(Data!B1049), "  ")</f>
        <v xml:space="preserve">  </v>
      </c>
      <c r="C1047" s="42" t="str">
        <f>IFERROR(AVERAGE(Data!C1049), "  ")</f>
        <v xml:space="preserve">  </v>
      </c>
      <c r="D1047" s="42" t="str">
        <f>IFERROR(AVERAGE(Data!D1049), "  ")</f>
        <v xml:space="preserve">  </v>
      </c>
      <c r="E1047" s="42" t="str">
        <f>IFERROR(AVERAGE(Data!E1049), "  ")</f>
        <v xml:space="preserve">  </v>
      </c>
      <c r="F1047" s="42" t="str">
        <f>IFERROR(AVERAGE(Data!F1049), "  ")</f>
        <v xml:space="preserve">  </v>
      </c>
      <c r="G1047" s="42" t="str">
        <f>IFERROR(AVERAGE(Data!G1049), "  ")</f>
        <v xml:space="preserve">  </v>
      </c>
      <c r="H1047" s="44" t="str">
        <f>IFERROR(AVERAGE(Data!H1049), "  ")</f>
        <v xml:space="preserve">  </v>
      </c>
      <c r="I1047" s="44" t="str">
        <f>IFERROR(AVERAGE(Data!I1049), "  ")</f>
        <v xml:space="preserve">  </v>
      </c>
      <c r="J1047" s="42" t="str">
        <f>IFERROR(AVERAGE(Data!J1049), "  ")</f>
        <v xml:space="preserve">  </v>
      </c>
      <c r="K1047" s="44" t="str">
        <f>IFERROR(AVERAGE(Data!K1049), "  ")</f>
        <v xml:space="preserve">  </v>
      </c>
      <c r="L1047" s="45" t="str">
        <f>IFERROR(AVERAGE(Data!L1049), "  ")</f>
        <v xml:space="preserve">  </v>
      </c>
    </row>
    <row r="1048" spans="1:12" x14ac:dyDescent="0.2">
      <c r="A1048" s="43"/>
      <c r="B1048" s="42" t="str">
        <f>IFERROR(AVERAGE(Data!B1050), "  ")</f>
        <v xml:space="preserve">  </v>
      </c>
      <c r="C1048" s="42" t="str">
        <f>IFERROR(AVERAGE(Data!C1050), "  ")</f>
        <v xml:space="preserve">  </v>
      </c>
      <c r="D1048" s="42" t="str">
        <f>IFERROR(AVERAGE(Data!D1050), "  ")</f>
        <v xml:space="preserve">  </v>
      </c>
      <c r="E1048" s="42" t="str">
        <f>IFERROR(AVERAGE(Data!E1050), "  ")</f>
        <v xml:space="preserve">  </v>
      </c>
      <c r="F1048" s="42" t="str">
        <f>IFERROR(AVERAGE(Data!F1050), "  ")</f>
        <v xml:space="preserve">  </v>
      </c>
      <c r="G1048" s="42" t="str">
        <f>IFERROR(AVERAGE(Data!G1050), "  ")</f>
        <v xml:space="preserve">  </v>
      </c>
      <c r="H1048" s="44" t="str">
        <f>IFERROR(AVERAGE(Data!H1050), "  ")</f>
        <v xml:space="preserve">  </v>
      </c>
      <c r="I1048" s="44" t="str">
        <f>IFERROR(AVERAGE(Data!I1050), "  ")</f>
        <v xml:space="preserve">  </v>
      </c>
      <c r="J1048" s="42" t="str">
        <f>IFERROR(AVERAGE(Data!J1050), "  ")</f>
        <v xml:space="preserve">  </v>
      </c>
      <c r="K1048" s="44" t="str">
        <f>IFERROR(AVERAGE(Data!K1050), "  ")</f>
        <v xml:space="preserve">  </v>
      </c>
      <c r="L1048" s="45" t="str">
        <f>IFERROR(AVERAGE(Data!L1050), "  ")</f>
        <v xml:space="preserve">  </v>
      </c>
    </row>
    <row r="1049" spans="1:12" x14ac:dyDescent="0.2">
      <c r="A1049" s="43"/>
      <c r="B1049" s="42" t="str">
        <f>IFERROR(AVERAGE(Data!B1051), "  ")</f>
        <v xml:space="preserve">  </v>
      </c>
      <c r="C1049" s="42" t="str">
        <f>IFERROR(AVERAGE(Data!C1051), "  ")</f>
        <v xml:space="preserve">  </v>
      </c>
      <c r="D1049" s="42" t="str">
        <f>IFERROR(AVERAGE(Data!D1051), "  ")</f>
        <v xml:space="preserve">  </v>
      </c>
      <c r="E1049" s="42" t="str">
        <f>IFERROR(AVERAGE(Data!E1051), "  ")</f>
        <v xml:space="preserve">  </v>
      </c>
      <c r="F1049" s="42" t="str">
        <f>IFERROR(AVERAGE(Data!F1051), "  ")</f>
        <v xml:space="preserve">  </v>
      </c>
      <c r="G1049" s="42" t="str">
        <f>IFERROR(AVERAGE(Data!G1051), "  ")</f>
        <v xml:space="preserve">  </v>
      </c>
      <c r="H1049" s="44" t="str">
        <f>IFERROR(AVERAGE(Data!H1051), "  ")</f>
        <v xml:space="preserve">  </v>
      </c>
      <c r="I1049" s="44" t="str">
        <f>IFERROR(AVERAGE(Data!I1051), "  ")</f>
        <v xml:space="preserve">  </v>
      </c>
      <c r="J1049" s="42" t="str">
        <f>IFERROR(AVERAGE(Data!J1051), "  ")</f>
        <v xml:space="preserve">  </v>
      </c>
      <c r="K1049" s="44" t="str">
        <f>IFERROR(AVERAGE(Data!K1051), "  ")</f>
        <v xml:space="preserve">  </v>
      </c>
      <c r="L1049" s="45" t="str">
        <f>IFERROR(AVERAGE(Data!L1051), "  ")</f>
        <v xml:space="preserve">  </v>
      </c>
    </row>
    <row r="1050" spans="1:12" x14ac:dyDescent="0.2">
      <c r="A1050" s="43"/>
      <c r="B1050" s="42" t="str">
        <f>IFERROR(AVERAGE(Data!B1052), "  ")</f>
        <v xml:space="preserve">  </v>
      </c>
      <c r="C1050" s="42" t="str">
        <f>IFERROR(AVERAGE(Data!C1052), "  ")</f>
        <v xml:space="preserve">  </v>
      </c>
      <c r="D1050" s="42" t="str">
        <f>IFERROR(AVERAGE(Data!D1052), "  ")</f>
        <v xml:space="preserve">  </v>
      </c>
      <c r="E1050" s="42" t="str">
        <f>IFERROR(AVERAGE(Data!E1052), "  ")</f>
        <v xml:space="preserve">  </v>
      </c>
      <c r="F1050" s="42" t="str">
        <f>IFERROR(AVERAGE(Data!F1052), "  ")</f>
        <v xml:space="preserve">  </v>
      </c>
      <c r="G1050" s="42" t="str">
        <f>IFERROR(AVERAGE(Data!G1052), "  ")</f>
        <v xml:space="preserve">  </v>
      </c>
      <c r="H1050" s="44" t="str">
        <f>IFERROR(AVERAGE(Data!H1052), "  ")</f>
        <v xml:space="preserve">  </v>
      </c>
      <c r="I1050" s="44" t="str">
        <f>IFERROR(AVERAGE(Data!I1052), "  ")</f>
        <v xml:space="preserve">  </v>
      </c>
      <c r="J1050" s="42" t="str">
        <f>IFERROR(AVERAGE(Data!J1052), "  ")</f>
        <v xml:space="preserve">  </v>
      </c>
      <c r="K1050" s="44" t="str">
        <f>IFERROR(AVERAGE(Data!K1052), "  ")</f>
        <v xml:space="preserve">  </v>
      </c>
      <c r="L1050" s="45" t="str">
        <f>IFERROR(AVERAGE(Data!L1052), "  ")</f>
        <v xml:space="preserve">  </v>
      </c>
    </row>
    <row r="1051" spans="1:12" x14ac:dyDescent="0.2">
      <c r="A1051" s="43"/>
      <c r="B1051" s="42" t="str">
        <f>IFERROR(AVERAGE(Data!B1053), "  ")</f>
        <v xml:space="preserve">  </v>
      </c>
      <c r="C1051" s="42" t="str">
        <f>IFERROR(AVERAGE(Data!C1053), "  ")</f>
        <v xml:space="preserve">  </v>
      </c>
      <c r="D1051" s="42" t="str">
        <f>IFERROR(AVERAGE(Data!D1053), "  ")</f>
        <v xml:space="preserve">  </v>
      </c>
      <c r="E1051" s="42" t="str">
        <f>IFERROR(AVERAGE(Data!E1053), "  ")</f>
        <v xml:space="preserve">  </v>
      </c>
      <c r="F1051" s="42" t="str">
        <f>IFERROR(AVERAGE(Data!F1053), "  ")</f>
        <v xml:space="preserve">  </v>
      </c>
      <c r="G1051" s="42" t="str">
        <f>IFERROR(AVERAGE(Data!G1053), "  ")</f>
        <v xml:space="preserve">  </v>
      </c>
      <c r="H1051" s="44" t="str">
        <f>IFERROR(AVERAGE(Data!H1053), "  ")</f>
        <v xml:space="preserve">  </v>
      </c>
      <c r="I1051" s="44" t="str">
        <f>IFERROR(AVERAGE(Data!I1053), "  ")</f>
        <v xml:space="preserve">  </v>
      </c>
      <c r="J1051" s="42" t="str">
        <f>IFERROR(AVERAGE(Data!J1053), "  ")</f>
        <v xml:space="preserve">  </v>
      </c>
      <c r="K1051" s="44" t="str">
        <f>IFERROR(AVERAGE(Data!K1053), "  ")</f>
        <v xml:space="preserve">  </v>
      </c>
      <c r="L1051" s="45" t="str">
        <f>IFERROR(AVERAGE(Data!L1053), "  ")</f>
        <v xml:space="preserve">  </v>
      </c>
    </row>
    <row r="1052" spans="1:12" x14ac:dyDescent="0.2">
      <c r="A1052" s="43"/>
      <c r="B1052" s="42" t="str">
        <f>IFERROR(AVERAGE(Data!B1054), "  ")</f>
        <v xml:space="preserve">  </v>
      </c>
      <c r="C1052" s="42" t="str">
        <f>IFERROR(AVERAGE(Data!C1054), "  ")</f>
        <v xml:space="preserve">  </v>
      </c>
      <c r="D1052" s="42" t="str">
        <f>IFERROR(AVERAGE(Data!D1054), "  ")</f>
        <v xml:space="preserve">  </v>
      </c>
      <c r="E1052" s="42" t="str">
        <f>IFERROR(AVERAGE(Data!E1054), "  ")</f>
        <v xml:space="preserve">  </v>
      </c>
      <c r="F1052" s="42" t="str">
        <f>IFERROR(AVERAGE(Data!F1054), "  ")</f>
        <v xml:space="preserve">  </v>
      </c>
      <c r="G1052" s="42" t="str">
        <f>IFERROR(AVERAGE(Data!G1054), "  ")</f>
        <v xml:space="preserve">  </v>
      </c>
      <c r="H1052" s="44" t="str">
        <f>IFERROR(AVERAGE(Data!H1054), "  ")</f>
        <v xml:space="preserve">  </v>
      </c>
      <c r="I1052" s="44" t="str">
        <f>IFERROR(AVERAGE(Data!I1054), "  ")</f>
        <v xml:space="preserve">  </v>
      </c>
      <c r="J1052" s="42" t="str">
        <f>IFERROR(AVERAGE(Data!J1054), "  ")</f>
        <v xml:space="preserve">  </v>
      </c>
      <c r="K1052" s="44" t="str">
        <f>IFERROR(AVERAGE(Data!K1054), "  ")</f>
        <v xml:space="preserve">  </v>
      </c>
      <c r="L1052" s="45" t="str">
        <f>IFERROR(AVERAGE(Data!L1054), "  ")</f>
        <v xml:space="preserve">  </v>
      </c>
    </row>
    <row r="1053" spans="1:12" x14ac:dyDescent="0.2">
      <c r="A1053" s="43"/>
      <c r="B1053" s="42" t="str">
        <f>IFERROR(AVERAGE(Data!B1055), "  ")</f>
        <v xml:space="preserve">  </v>
      </c>
      <c r="C1053" s="42" t="str">
        <f>IFERROR(AVERAGE(Data!C1055), "  ")</f>
        <v xml:space="preserve">  </v>
      </c>
      <c r="D1053" s="42" t="str">
        <f>IFERROR(AVERAGE(Data!D1055), "  ")</f>
        <v xml:space="preserve">  </v>
      </c>
      <c r="E1053" s="42" t="str">
        <f>IFERROR(AVERAGE(Data!E1055), "  ")</f>
        <v xml:space="preserve">  </v>
      </c>
      <c r="F1053" s="42" t="str">
        <f>IFERROR(AVERAGE(Data!F1055), "  ")</f>
        <v xml:space="preserve">  </v>
      </c>
      <c r="G1053" s="42" t="str">
        <f>IFERROR(AVERAGE(Data!G1055), "  ")</f>
        <v xml:space="preserve">  </v>
      </c>
      <c r="H1053" s="44" t="str">
        <f>IFERROR(AVERAGE(Data!H1055), "  ")</f>
        <v xml:space="preserve">  </v>
      </c>
      <c r="I1053" s="44" t="str">
        <f>IFERROR(AVERAGE(Data!I1055), "  ")</f>
        <v xml:space="preserve">  </v>
      </c>
      <c r="J1053" s="42" t="str">
        <f>IFERROR(AVERAGE(Data!J1055), "  ")</f>
        <v xml:space="preserve">  </v>
      </c>
      <c r="K1053" s="44" t="str">
        <f>IFERROR(AVERAGE(Data!K1055), "  ")</f>
        <v xml:space="preserve">  </v>
      </c>
      <c r="L1053" s="45" t="str">
        <f>IFERROR(AVERAGE(Data!L1055), "  ")</f>
        <v xml:space="preserve">  </v>
      </c>
    </row>
    <row r="1054" spans="1:12" x14ac:dyDescent="0.2">
      <c r="A1054" s="43"/>
      <c r="B1054" s="42" t="str">
        <f>IFERROR(AVERAGE(Data!B1056), "  ")</f>
        <v xml:space="preserve">  </v>
      </c>
      <c r="C1054" s="42" t="str">
        <f>IFERROR(AVERAGE(Data!C1056), "  ")</f>
        <v xml:space="preserve">  </v>
      </c>
      <c r="D1054" s="42" t="str">
        <f>IFERROR(AVERAGE(Data!D1056), "  ")</f>
        <v xml:space="preserve">  </v>
      </c>
      <c r="E1054" s="42" t="str">
        <f>IFERROR(AVERAGE(Data!E1056), "  ")</f>
        <v xml:space="preserve">  </v>
      </c>
      <c r="F1054" s="42" t="str">
        <f>IFERROR(AVERAGE(Data!F1056), "  ")</f>
        <v xml:space="preserve">  </v>
      </c>
      <c r="G1054" s="42" t="str">
        <f>IFERROR(AVERAGE(Data!G1056), "  ")</f>
        <v xml:space="preserve">  </v>
      </c>
      <c r="H1054" s="44" t="str">
        <f>IFERROR(AVERAGE(Data!H1056), "  ")</f>
        <v xml:space="preserve">  </v>
      </c>
      <c r="I1054" s="44" t="str">
        <f>IFERROR(AVERAGE(Data!I1056), "  ")</f>
        <v xml:space="preserve">  </v>
      </c>
      <c r="J1054" s="42" t="str">
        <f>IFERROR(AVERAGE(Data!J1056), "  ")</f>
        <v xml:space="preserve">  </v>
      </c>
      <c r="K1054" s="44" t="str">
        <f>IFERROR(AVERAGE(Data!K1056), "  ")</f>
        <v xml:space="preserve">  </v>
      </c>
      <c r="L1054" s="45" t="str">
        <f>IFERROR(AVERAGE(Data!L1056), "  ")</f>
        <v xml:space="preserve">  </v>
      </c>
    </row>
    <row r="1055" spans="1:12" x14ac:dyDescent="0.2">
      <c r="A1055" s="43"/>
      <c r="B1055" s="42" t="str">
        <f>IFERROR(AVERAGE(Data!B1057), "  ")</f>
        <v xml:space="preserve">  </v>
      </c>
      <c r="C1055" s="42" t="str">
        <f>IFERROR(AVERAGE(Data!C1057), "  ")</f>
        <v xml:space="preserve">  </v>
      </c>
      <c r="D1055" s="42" t="str">
        <f>IFERROR(AVERAGE(Data!D1057), "  ")</f>
        <v xml:space="preserve">  </v>
      </c>
      <c r="E1055" s="42" t="str">
        <f>IFERROR(AVERAGE(Data!E1057), "  ")</f>
        <v xml:space="preserve">  </v>
      </c>
      <c r="F1055" s="42" t="str">
        <f>IFERROR(AVERAGE(Data!F1057), "  ")</f>
        <v xml:space="preserve">  </v>
      </c>
      <c r="G1055" s="42" t="str">
        <f>IFERROR(AVERAGE(Data!G1057), "  ")</f>
        <v xml:space="preserve">  </v>
      </c>
      <c r="H1055" s="44" t="str">
        <f>IFERROR(AVERAGE(Data!H1057), "  ")</f>
        <v xml:space="preserve">  </v>
      </c>
      <c r="I1055" s="44" t="str">
        <f>IFERROR(AVERAGE(Data!I1057), "  ")</f>
        <v xml:space="preserve">  </v>
      </c>
      <c r="J1055" s="42" t="str">
        <f>IFERROR(AVERAGE(Data!J1057), "  ")</f>
        <v xml:space="preserve">  </v>
      </c>
      <c r="K1055" s="44" t="str">
        <f>IFERROR(AVERAGE(Data!K1057), "  ")</f>
        <v xml:space="preserve">  </v>
      </c>
      <c r="L1055" s="45" t="str">
        <f>IFERROR(AVERAGE(Data!L1057), "  ")</f>
        <v xml:space="preserve">  </v>
      </c>
    </row>
    <row r="1056" spans="1:12" x14ac:dyDescent="0.2">
      <c r="A1056" s="43"/>
      <c r="B1056" s="42" t="str">
        <f>IFERROR(AVERAGE(Data!B1058), "  ")</f>
        <v xml:space="preserve">  </v>
      </c>
      <c r="C1056" s="42" t="str">
        <f>IFERROR(AVERAGE(Data!C1058), "  ")</f>
        <v xml:space="preserve">  </v>
      </c>
      <c r="D1056" s="42" t="str">
        <f>IFERROR(AVERAGE(Data!D1058), "  ")</f>
        <v xml:space="preserve">  </v>
      </c>
      <c r="E1056" s="42" t="str">
        <f>IFERROR(AVERAGE(Data!E1058), "  ")</f>
        <v xml:space="preserve">  </v>
      </c>
      <c r="F1056" s="42" t="str">
        <f>IFERROR(AVERAGE(Data!F1058), "  ")</f>
        <v xml:space="preserve">  </v>
      </c>
      <c r="G1056" s="42" t="str">
        <f>IFERROR(AVERAGE(Data!G1058), "  ")</f>
        <v xml:space="preserve">  </v>
      </c>
      <c r="H1056" s="44" t="str">
        <f>IFERROR(AVERAGE(Data!H1058), "  ")</f>
        <v xml:space="preserve">  </v>
      </c>
      <c r="I1056" s="44" t="str">
        <f>IFERROR(AVERAGE(Data!I1058), "  ")</f>
        <v xml:space="preserve">  </v>
      </c>
      <c r="J1056" s="42" t="str">
        <f>IFERROR(AVERAGE(Data!J1058), "  ")</f>
        <v xml:space="preserve">  </v>
      </c>
      <c r="K1056" s="44" t="str">
        <f>IFERROR(AVERAGE(Data!K1058), "  ")</f>
        <v xml:space="preserve">  </v>
      </c>
      <c r="L1056" s="45" t="str">
        <f>IFERROR(AVERAGE(Data!L1058), "  ")</f>
        <v xml:space="preserve">  </v>
      </c>
    </row>
    <row r="1057" spans="1:12" x14ac:dyDescent="0.2">
      <c r="A1057" s="43"/>
      <c r="B1057" s="42" t="str">
        <f>IFERROR(AVERAGE(Data!B1059), "  ")</f>
        <v xml:space="preserve">  </v>
      </c>
      <c r="C1057" s="42" t="str">
        <f>IFERROR(AVERAGE(Data!C1059), "  ")</f>
        <v xml:space="preserve">  </v>
      </c>
      <c r="D1057" s="42" t="str">
        <f>IFERROR(AVERAGE(Data!D1059), "  ")</f>
        <v xml:space="preserve">  </v>
      </c>
      <c r="E1057" s="42" t="str">
        <f>IFERROR(AVERAGE(Data!E1059), "  ")</f>
        <v xml:space="preserve">  </v>
      </c>
      <c r="F1057" s="42" t="str">
        <f>IFERROR(AVERAGE(Data!F1059), "  ")</f>
        <v xml:space="preserve">  </v>
      </c>
      <c r="G1057" s="42" t="str">
        <f>IFERROR(AVERAGE(Data!G1059), "  ")</f>
        <v xml:space="preserve">  </v>
      </c>
      <c r="H1057" s="44" t="str">
        <f>IFERROR(AVERAGE(Data!H1059), "  ")</f>
        <v xml:space="preserve">  </v>
      </c>
      <c r="I1057" s="44" t="str">
        <f>IFERROR(AVERAGE(Data!I1059), "  ")</f>
        <v xml:space="preserve">  </v>
      </c>
      <c r="J1057" s="42" t="str">
        <f>IFERROR(AVERAGE(Data!J1059), "  ")</f>
        <v xml:space="preserve">  </v>
      </c>
      <c r="K1057" s="44" t="str">
        <f>IFERROR(AVERAGE(Data!K1059), "  ")</f>
        <v xml:space="preserve">  </v>
      </c>
      <c r="L1057" s="45" t="str">
        <f>IFERROR(AVERAGE(Data!L1059), "  ")</f>
        <v xml:space="preserve">  </v>
      </c>
    </row>
    <row r="1058" spans="1:12" x14ac:dyDescent="0.2">
      <c r="A1058" s="43"/>
      <c r="B1058" s="42" t="str">
        <f>IFERROR(AVERAGE(Data!B1060), "  ")</f>
        <v xml:space="preserve">  </v>
      </c>
      <c r="C1058" s="42" t="str">
        <f>IFERROR(AVERAGE(Data!C1060), "  ")</f>
        <v xml:space="preserve">  </v>
      </c>
      <c r="D1058" s="42" t="str">
        <f>IFERROR(AVERAGE(Data!D1060), "  ")</f>
        <v xml:space="preserve">  </v>
      </c>
      <c r="E1058" s="42" t="str">
        <f>IFERROR(AVERAGE(Data!E1060), "  ")</f>
        <v xml:space="preserve">  </v>
      </c>
      <c r="F1058" s="42" t="str">
        <f>IFERROR(AVERAGE(Data!F1060), "  ")</f>
        <v xml:space="preserve">  </v>
      </c>
      <c r="G1058" s="42" t="str">
        <f>IFERROR(AVERAGE(Data!G1060), "  ")</f>
        <v xml:space="preserve">  </v>
      </c>
      <c r="H1058" s="44" t="str">
        <f>IFERROR(AVERAGE(Data!H1060), "  ")</f>
        <v xml:space="preserve">  </v>
      </c>
      <c r="I1058" s="44" t="str">
        <f>IFERROR(AVERAGE(Data!I1060), "  ")</f>
        <v xml:space="preserve">  </v>
      </c>
      <c r="J1058" s="42" t="str">
        <f>IFERROR(AVERAGE(Data!J1060), "  ")</f>
        <v xml:space="preserve">  </v>
      </c>
      <c r="K1058" s="44" t="str">
        <f>IFERROR(AVERAGE(Data!K1060), "  ")</f>
        <v xml:space="preserve">  </v>
      </c>
      <c r="L1058" s="45" t="str">
        <f>IFERROR(AVERAGE(Data!L1060), "  ")</f>
        <v xml:space="preserve">  </v>
      </c>
    </row>
    <row r="1059" spans="1:12" x14ac:dyDescent="0.2">
      <c r="A1059" s="43"/>
      <c r="B1059" s="42" t="str">
        <f>IFERROR(AVERAGE(Data!B1061), "  ")</f>
        <v xml:space="preserve">  </v>
      </c>
      <c r="C1059" s="42" t="str">
        <f>IFERROR(AVERAGE(Data!C1061), "  ")</f>
        <v xml:space="preserve">  </v>
      </c>
      <c r="D1059" s="42" t="str">
        <f>IFERROR(AVERAGE(Data!D1061), "  ")</f>
        <v xml:space="preserve">  </v>
      </c>
      <c r="E1059" s="42" t="str">
        <f>IFERROR(AVERAGE(Data!E1061), "  ")</f>
        <v xml:space="preserve">  </v>
      </c>
      <c r="F1059" s="42" t="str">
        <f>IFERROR(AVERAGE(Data!F1061), "  ")</f>
        <v xml:space="preserve">  </v>
      </c>
      <c r="G1059" s="42" t="str">
        <f>IFERROR(AVERAGE(Data!G1061), "  ")</f>
        <v xml:space="preserve">  </v>
      </c>
      <c r="H1059" s="44" t="str">
        <f>IFERROR(AVERAGE(Data!H1061), "  ")</f>
        <v xml:space="preserve">  </v>
      </c>
      <c r="I1059" s="44" t="str">
        <f>IFERROR(AVERAGE(Data!I1061), "  ")</f>
        <v xml:space="preserve">  </v>
      </c>
      <c r="J1059" s="42" t="str">
        <f>IFERROR(AVERAGE(Data!J1061), "  ")</f>
        <v xml:space="preserve">  </v>
      </c>
      <c r="K1059" s="44" t="str">
        <f>IFERROR(AVERAGE(Data!K1061), "  ")</f>
        <v xml:space="preserve">  </v>
      </c>
      <c r="L1059" s="45" t="str">
        <f>IFERROR(AVERAGE(Data!L1061), "  ")</f>
        <v xml:space="preserve">  </v>
      </c>
    </row>
    <row r="1060" spans="1:12" x14ac:dyDescent="0.2">
      <c r="A1060" s="43"/>
      <c r="B1060" s="42" t="str">
        <f>IFERROR(AVERAGE(Data!B1062), "  ")</f>
        <v xml:space="preserve">  </v>
      </c>
      <c r="C1060" s="42" t="str">
        <f>IFERROR(AVERAGE(Data!C1062), "  ")</f>
        <v xml:space="preserve">  </v>
      </c>
      <c r="D1060" s="42" t="str">
        <f>IFERROR(AVERAGE(Data!D1062), "  ")</f>
        <v xml:space="preserve">  </v>
      </c>
      <c r="E1060" s="42" t="str">
        <f>IFERROR(AVERAGE(Data!E1062), "  ")</f>
        <v xml:space="preserve">  </v>
      </c>
      <c r="F1060" s="42" t="str">
        <f>IFERROR(AVERAGE(Data!F1062), "  ")</f>
        <v xml:space="preserve">  </v>
      </c>
      <c r="G1060" s="42" t="str">
        <f>IFERROR(AVERAGE(Data!G1062), "  ")</f>
        <v xml:space="preserve">  </v>
      </c>
      <c r="H1060" s="44" t="str">
        <f>IFERROR(AVERAGE(Data!H1062), "  ")</f>
        <v xml:space="preserve">  </v>
      </c>
      <c r="I1060" s="44" t="str">
        <f>IFERROR(AVERAGE(Data!I1062), "  ")</f>
        <v xml:space="preserve">  </v>
      </c>
      <c r="J1060" s="42" t="str">
        <f>IFERROR(AVERAGE(Data!J1062), "  ")</f>
        <v xml:space="preserve">  </v>
      </c>
      <c r="K1060" s="44" t="str">
        <f>IFERROR(AVERAGE(Data!K1062), "  ")</f>
        <v xml:space="preserve">  </v>
      </c>
      <c r="L1060" s="45" t="str">
        <f>IFERROR(AVERAGE(Data!L1062), "  ")</f>
        <v xml:space="preserve">  </v>
      </c>
    </row>
    <row r="1061" spans="1:12" x14ac:dyDescent="0.2">
      <c r="A1061" s="43"/>
      <c r="B1061" s="42" t="str">
        <f>IFERROR(AVERAGE(Data!B1063), "  ")</f>
        <v xml:space="preserve">  </v>
      </c>
      <c r="C1061" s="42" t="str">
        <f>IFERROR(AVERAGE(Data!C1063), "  ")</f>
        <v xml:space="preserve">  </v>
      </c>
      <c r="D1061" s="42" t="str">
        <f>IFERROR(AVERAGE(Data!D1063), "  ")</f>
        <v xml:space="preserve">  </v>
      </c>
      <c r="E1061" s="42" t="str">
        <f>IFERROR(AVERAGE(Data!E1063), "  ")</f>
        <v xml:space="preserve">  </v>
      </c>
      <c r="F1061" s="42" t="str">
        <f>IFERROR(AVERAGE(Data!F1063), "  ")</f>
        <v xml:space="preserve">  </v>
      </c>
      <c r="G1061" s="42" t="str">
        <f>IFERROR(AVERAGE(Data!G1063), "  ")</f>
        <v xml:space="preserve">  </v>
      </c>
      <c r="H1061" s="44" t="str">
        <f>IFERROR(AVERAGE(Data!H1063), "  ")</f>
        <v xml:space="preserve">  </v>
      </c>
      <c r="I1061" s="44" t="str">
        <f>IFERROR(AVERAGE(Data!I1063), "  ")</f>
        <v xml:space="preserve">  </v>
      </c>
      <c r="J1061" s="42" t="str">
        <f>IFERROR(AVERAGE(Data!J1063), "  ")</f>
        <v xml:space="preserve">  </v>
      </c>
      <c r="K1061" s="44" t="str">
        <f>IFERROR(AVERAGE(Data!K1063), "  ")</f>
        <v xml:space="preserve">  </v>
      </c>
      <c r="L1061" s="45" t="str">
        <f>IFERROR(AVERAGE(Data!L1063), "  ")</f>
        <v xml:space="preserve">  </v>
      </c>
    </row>
    <row r="1062" spans="1:12" x14ac:dyDescent="0.2">
      <c r="A1062" s="43"/>
      <c r="B1062" s="42" t="str">
        <f>IFERROR(AVERAGE(Data!B1064), "  ")</f>
        <v xml:space="preserve">  </v>
      </c>
      <c r="C1062" s="42" t="str">
        <f>IFERROR(AVERAGE(Data!C1064), "  ")</f>
        <v xml:space="preserve">  </v>
      </c>
      <c r="D1062" s="42" t="str">
        <f>IFERROR(AVERAGE(Data!D1064), "  ")</f>
        <v xml:space="preserve">  </v>
      </c>
      <c r="E1062" s="42" t="str">
        <f>IFERROR(AVERAGE(Data!E1064), "  ")</f>
        <v xml:space="preserve">  </v>
      </c>
      <c r="F1062" s="42" t="str">
        <f>IFERROR(AVERAGE(Data!F1064), "  ")</f>
        <v xml:space="preserve">  </v>
      </c>
      <c r="G1062" s="42" t="str">
        <f>IFERROR(AVERAGE(Data!G1064), "  ")</f>
        <v xml:space="preserve">  </v>
      </c>
      <c r="H1062" s="44" t="str">
        <f>IFERROR(AVERAGE(Data!H1064), "  ")</f>
        <v xml:space="preserve">  </v>
      </c>
      <c r="I1062" s="44" t="str">
        <f>IFERROR(AVERAGE(Data!I1064), "  ")</f>
        <v xml:space="preserve">  </v>
      </c>
      <c r="J1062" s="42" t="str">
        <f>IFERROR(AVERAGE(Data!J1064), "  ")</f>
        <v xml:space="preserve">  </v>
      </c>
      <c r="K1062" s="44" t="str">
        <f>IFERROR(AVERAGE(Data!K1064), "  ")</f>
        <v xml:space="preserve">  </v>
      </c>
      <c r="L1062" s="45" t="str">
        <f>IFERROR(AVERAGE(Data!L1064), "  ")</f>
        <v xml:space="preserve">  </v>
      </c>
    </row>
    <row r="1063" spans="1:12" x14ac:dyDescent="0.2">
      <c r="A1063" s="43"/>
      <c r="B1063" s="42" t="str">
        <f>IFERROR(AVERAGE(Data!B1065), "  ")</f>
        <v xml:space="preserve">  </v>
      </c>
      <c r="C1063" s="42" t="str">
        <f>IFERROR(AVERAGE(Data!C1065), "  ")</f>
        <v xml:space="preserve">  </v>
      </c>
      <c r="D1063" s="42" t="str">
        <f>IFERROR(AVERAGE(Data!D1065), "  ")</f>
        <v xml:space="preserve">  </v>
      </c>
      <c r="E1063" s="42" t="str">
        <f>IFERROR(AVERAGE(Data!E1065), "  ")</f>
        <v xml:space="preserve">  </v>
      </c>
      <c r="F1063" s="42" t="str">
        <f>IFERROR(AVERAGE(Data!F1065), "  ")</f>
        <v xml:space="preserve">  </v>
      </c>
      <c r="G1063" s="42" t="str">
        <f>IFERROR(AVERAGE(Data!G1065), "  ")</f>
        <v xml:space="preserve">  </v>
      </c>
      <c r="H1063" s="44" t="str">
        <f>IFERROR(AVERAGE(Data!H1065), "  ")</f>
        <v xml:space="preserve">  </v>
      </c>
      <c r="I1063" s="44" t="str">
        <f>IFERROR(AVERAGE(Data!I1065), "  ")</f>
        <v xml:space="preserve">  </v>
      </c>
      <c r="J1063" s="42" t="str">
        <f>IFERROR(AVERAGE(Data!J1065), "  ")</f>
        <v xml:space="preserve">  </v>
      </c>
      <c r="K1063" s="44" t="str">
        <f>IFERROR(AVERAGE(Data!K1065), "  ")</f>
        <v xml:space="preserve">  </v>
      </c>
      <c r="L1063" s="45" t="str">
        <f>IFERROR(AVERAGE(Data!L1065), "  ")</f>
        <v xml:space="preserve">  </v>
      </c>
    </row>
    <row r="1064" spans="1:12" x14ac:dyDescent="0.2">
      <c r="A1064" s="43"/>
      <c r="B1064" s="42" t="str">
        <f>IFERROR(AVERAGE(Data!B1066), "  ")</f>
        <v xml:space="preserve">  </v>
      </c>
      <c r="C1064" s="42" t="str">
        <f>IFERROR(AVERAGE(Data!C1066), "  ")</f>
        <v xml:space="preserve">  </v>
      </c>
      <c r="D1064" s="42" t="str">
        <f>IFERROR(AVERAGE(Data!D1066), "  ")</f>
        <v xml:space="preserve">  </v>
      </c>
      <c r="E1064" s="42" t="str">
        <f>IFERROR(AVERAGE(Data!E1066), "  ")</f>
        <v xml:space="preserve">  </v>
      </c>
      <c r="F1064" s="42" t="str">
        <f>IFERROR(AVERAGE(Data!F1066), "  ")</f>
        <v xml:space="preserve">  </v>
      </c>
      <c r="G1064" s="42" t="str">
        <f>IFERROR(AVERAGE(Data!G1066), "  ")</f>
        <v xml:space="preserve">  </v>
      </c>
      <c r="H1064" s="44" t="str">
        <f>IFERROR(AVERAGE(Data!H1066), "  ")</f>
        <v xml:space="preserve">  </v>
      </c>
      <c r="I1064" s="44" t="str">
        <f>IFERROR(AVERAGE(Data!I1066), "  ")</f>
        <v xml:space="preserve">  </v>
      </c>
      <c r="J1064" s="42" t="str">
        <f>IFERROR(AVERAGE(Data!J1066), "  ")</f>
        <v xml:space="preserve">  </v>
      </c>
      <c r="K1064" s="44" t="str">
        <f>IFERROR(AVERAGE(Data!K1066), "  ")</f>
        <v xml:space="preserve">  </v>
      </c>
      <c r="L1064" s="45" t="str">
        <f>IFERROR(AVERAGE(Data!L1066), "  ")</f>
        <v xml:space="preserve">  </v>
      </c>
    </row>
    <row r="1065" spans="1:12" x14ac:dyDescent="0.2">
      <c r="A1065" s="43"/>
      <c r="B1065" s="42" t="str">
        <f>IFERROR(AVERAGE(Data!B1067), "  ")</f>
        <v xml:space="preserve">  </v>
      </c>
      <c r="C1065" s="42" t="str">
        <f>IFERROR(AVERAGE(Data!C1067), "  ")</f>
        <v xml:space="preserve">  </v>
      </c>
      <c r="D1065" s="42" t="str">
        <f>IFERROR(AVERAGE(Data!D1067), "  ")</f>
        <v xml:space="preserve">  </v>
      </c>
      <c r="E1065" s="42" t="str">
        <f>IFERROR(AVERAGE(Data!E1067), "  ")</f>
        <v xml:space="preserve">  </v>
      </c>
      <c r="F1065" s="42" t="str">
        <f>IFERROR(AVERAGE(Data!F1067), "  ")</f>
        <v xml:space="preserve">  </v>
      </c>
      <c r="G1065" s="42" t="str">
        <f>IFERROR(AVERAGE(Data!G1067), "  ")</f>
        <v xml:space="preserve">  </v>
      </c>
      <c r="H1065" s="44" t="str">
        <f>IFERROR(AVERAGE(Data!H1067), "  ")</f>
        <v xml:space="preserve">  </v>
      </c>
      <c r="I1065" s="44" t="str">
        <f>IFERROR(AVERAGE(Data!I1067), "  ")</f>
        <v xml:space="preserve">  </v>
      </c>
      <c r="J1065" s="42" t="str">
        <f>IFERROR(AVERAGE(Data!J1067), "  ")</f>
        <v xml:space="preserve">  </v>
      </c>
      <c r="K1065" s="44" t="str">
        <f>IFERROR(AVERAGE(Data!K1067), "  ")</f>
        <v xml:space="preserve">  </v>
      </c>
      <c r="L1065" s="45" t="str">
        <f>IFERROR(AVERAGE(Data!L1067), "  ")</f>
        <v xml:space="preserve">  </v>
      </c>
    </row>
    <row r="1066" spans="1:12" x14ac:dyDescent="0.2">
      <c r="A1066" s="43"/>
      <c r="B1066" s="42" t="str">
        <f>IFERROR(AVERAGE(Data!B1068), "  ")</f>
        <v xml:space="preserve">  </v>
      </c>
      <c r="C1066" s="42" t="str">
        <f>IFERROR(AVERAGE(Data!C1068), "  ")</f>
        <v xml:space="preserve">  </v>
      </c>
      <c r="D1066" s="42" t="str">
        <f>IFERROR(AVERAGE(Data!D1068), "  ")</f>
        <v xml:space="preserve">  </v>
      </c>
      <c r="E1066" s="42" t="str">
        <f>IFERROR(AVERAGE(Data!E1068), "  ")</f>
        <v xml:space="preserve">  </v>
      </c>
      <c r="F1066" s="42" t="str">
        <f>IFERROR(AVERAGE(Data!F1068), "  ")</f>
        <v xml:space="preserve">  </v>
      </c>
      <c r="G1066" s="42" t="str">
        <f>IFERROR(AVERAGE(Data!G1068), "  ")</f>
        <v xml:space="preserve">  </v>
      </c>
      <c r="H1066" s="44" t="str">
        <f>IFERROR(AVERAGE(Data!H1068), "  ")</f>
        <v xml:space="preserve">  </v>
      </c>
      <c r="I1066" s="44" t="str">
        <f>IFERROR(AVERAGE(Data!I1068), "  ")</f>
        <v xml:space="preserve">  </v>
      </c>
      <c r="J1066" s="42" t="str">
        <f>IFERROR(AVERAGE(Data!J1068), "  ")</f>
        <v xml:space="preserve">  </v>
      </c>
      <c r="K1066" s="44" t="str">
        <f>IFERROR(AVERAGE(Data!K1068), "  ")</f>
        <v xml:space="preserve">  </v>
      </c>
      <c r="L1066" s="45" t="str">
        <f>IFERROR(AVERAGE(Data!L1068), "  ")</f>
        <v xml:space="preserve">  </v>
      </c>
    </row>
    <row r="1067" spans="1:12" x14ac:dyDescent="0.2">
      <c r="A1067" s="43"/>
      <c r="B1067" s="42" t="str">
        <f>IFERROR(AVERAGE(Data!B1069), "  ")</f>
        <v xml:space="preserve">  </v>
      </c>
      <c r="C1067" s="42" t="str">
        <f>IFERROR(AVERAGE(Data!C1069), "  ")</f>
        <v xml:space="preserve">  </v>
      </c>
      <c r="D1067" s="42" t="str">
        <f>IFERROR(AVERAGE(Data!D1069), "  ")</f>
        <v xml:space="preserve">  </v>
      </c>
      <c r="E1067" s="42" t="str">
        <f>IFERROR(AVERAGE(Data!E1069), "  ")</f>
        <v xml:space="preserve">  </v>
      </c>
      <c r="F1067" s="42" t="str">
        <f>IFERROR(AVERAGE(Data!F1069), "  ")</f>
        <v xml:space="preserve">  </v>
      </c>
      <c r="G1067" s="42" t="str">
        <f>IFERROR(AVERAGE(Data!G1069), "  ")</f>
        <v xml:space="preserve">  </v>
      </c>
      <c r="H1067" s="44" t="str">
        <f>IFERROR(AVERAGE(Data!H1069), "  ")</f>
        <v xml:space="preserve">  </v>
      </c>
      <c r="I1067" s="44" t="str">
        <f>IFERROR(AVERAGE(Data!I1069), "  ")</f>
        <v xml:space="preserve">  </v>
      </c>
      <c r="J1067" s="42" t="str">
        <f>IFERROR(AVERAGE(Data!J1069), "  ")</f>
        <v xml:space="preserve">  </v>
      </c>
      <c r="K1067" s="44" t="str">
        <f>IFERROR(AVERAGE(Data!K1069), "  ")</f>
        <v xml:space="preserve">  </v>
      </c>
      <c r="L1067" s="45" t="str">
        <f>IFERROR(AVERAGE(Data!L1069), "  ")</f>
        <v xml:space="preserve">  </v>
      </c>
    </row>
    <row r="1068" spans="1:12" x14ac:dyDescent="0.2">
      <c r="A1068" s="43"/>
      <c r="B1068" s="42" t="str">
        <f>IFERROR(AVERAGE(Data!B1070), "  ")</f>
        <v xml:space="preserve">  </v>
      </c>
      <c r="C1068" s="42" t="str">
        <f>IFERROR(AVERAGE(Data!C1070), "  ")</f>
        <v xml:space="preserve">  </v>
      </c>
      <c r="D1068" s="42" t="str">
        <f>IFERROR(AVERAGE(Data!D1070), "  ")</f>
        <v xml:space="preserve">  </v>
      </c>
      <c r="E1068" s="42" t="str">
        <f>IFERROR(AVERAGE(Data!E1070), "  ")</f>
        <v xml:space="preserve">  </v>
      </c>
      <c r="F1068" s="42" t="str">
        <f>IFERROR(AVERAGE(Data!F1070), "  ")</f>
        <v xml:space="preserve">  </v>
      </c>
      <c r="G1068" s="42" t="str">
        <f>IFERROR(AVERAGE(Data!G1070), "  ")</f>
        <v xml:space="preserve">  </v>
      </c>
      <c r="H1068" s="44" t="str">
        <f>IFERROR(AVERAGE(Data!H1070), "  ")</f>
        <v xml:space="preserve">  </v>
      </c>
      <c r="I1068" s="44" t="str">
        <f>IFERROR(AVERAGE(Data!I1070), "  ")</f>
        <v xml:space="preserve">  </v>
      </c>
      <c r="J1068" s="42" t="str">
        <f>IFERROR(AVERAGE(Data!J1070), "  ")</f>
        <v xml:space="preserve">  </v>
      </c>
      <c r="K1068" s="44" t="str">
        <f>IFERROR(AVERAGE(Data!K1070), "  ")</f>
        <v xml:space="preserve">  </v>
      </c>
      <c r="L1068" s="45" t="str">
        <f>IFERROR(AVERAGE(Data!L1070), "  ")</f>
        <v xml:space="preserve">  </v>
      </c>
    </row>
    <row r="1069" spans="1:12" x14ac:dyDescent="0.2">
      <c r="A1069" s="43"/>
      <c r="B1069" s="42" t="str">
        <f>IFERROR(AVERAGE(Data!B1071), "  ")</f>
        <v xml:space="preserve">  </v>
      </c>
      <c r="C1069" s="42" t="str">
        <f>IFERROR(AVERAGE(Data!C1071), "  ")</f>
        <v xml:space="preserve">  </v>
      </c>
      <c r="D1069" s="42" t="str">
        <f>IFERROR(AVERAGE(Data!D1071), "  ")</f>
        <v xml:space="preserve">  </v>
      </c>
      <c r="E1069" s="42" t="str">
        <f>IFERROR(AVERAGE(Data!E1071), "  ")</f>
        <v xml:space="preserve">  </v>
      </c>
      <c r="F1069" s="42" t="str">
        <f>IFERROR(AVERAGE(Data!F1071), "  ")</f>
        <v xml:space="preserve">  </v>
      </c>
      <c r="G1069" s="42" t="str">
        <f>IFERROR(AVERAGE(Data!G1071), "  ")</f>
        <v xml:space="preserve">  </v>
      </c>
      <c r="H1069" s="44" t="str">
        <f>IFERROR(AVERAGE(Data!H1071), "  ")</f>
        <v xml:space="preserve">  </v>
      </c>
      <c r="I1069" s="44" t="str">
        <f>IFERROR(AVERAGE(Data!I1071), "  ")</f>
        <v xml:space="preserve">  </v>
      </c>
      <c r="J1069" s="42" t="str">
        <f>IFERROR(AVERAGE(Data!J1071), "  ")</f>
        <v xml:space="preserve">  </v>
      </c>
      <c r="K1069" s="44" t="str">
        <f>IFERROR(AVERAGE(Data!K1071), "  ")</f>
        <v xml:space="preserve">  </v>
      </c>
      <c r="L1069" s="45" t="str">
        <f>IFERROR(AVERAGE(Data!L1071), "  ")</f>
        <v xml:space="preserve">  </v>
      </c>
    </row>
    <row r="1070" spans="1:12" x14ac:dyDescent="0.2">
      <c r="A1070" s="43"/>
      <c r="B1070" s="42" t="str">
        <f>IFERROR(AVERAGE(Data!B1072), "  ")</f>
        <v xml:space="preserve">  </v>
      </c>
      <c r="C1070" s="42" t="str">
        <f>IFERROR(AVERAGE(Data!C1072), "  ")</f>
        <v xml:space="preserve">  </v>
      </c>
      <c r="D1070" s="42" t="str">
        <f>IFERROR(AVERAGE(Data!D1072), "  ")</f>
        <v xml:space="preserve">  </v>
      </c>
      <c r="E1070" s="42" t="str">
        <f>IFERROR(AVERAGE(Data!E1072), "  ")</f>
        <v xml:space="preserve">  </v>
      </c>
      <c r="F1070" s="42" t="str">
        <f>IFERROR(AVERAGE(Data!F1072), "  ")</f>
        <v xml:space="preserve">  </v>
      </c>
      <c r="G1070" s="42" t="str">
        <f>IFERROR(AVERAGE(Data!G1072), "  ")</f>
        <v xml:space="preserve">  </v>
      </c>
      <c r="H1070" s="44" t="str">
        <f>IFERROR(AVERAGE(Data!H1072), "  ")</f>
        <v xml:space="preserve">  </v>
      </c>
      <c r="I1070" s="44" t="str">
        <f>IFERROR(AVERAGE(Data!I1072), "  ")</f>
        <v xml:space="preserve">  </v>
      </c>
      <c r="J1070" s="42" t="str">
        <f>IFERROR(AVERAGE(Data!J1072), "  ")</f>
        <v xml:space="preserve">  </v>
      </c>
      <c r="K1070" s="44" t="str">
        <f>IFERROR(AVERAGE(Data!K1072), "  ")</f>
        <v xml:space="preserve">  </v>
      </c>
      <c r="L1070" s="45" t="str">
        <f>IFERROR(AVERAGE(Data!L1072), "  ")</f>
        <v xml:space="preserve">  </v>
      </c>
    </row>
    <row r="1071" spans="1:12" x14ac:dyDescent="0.2">
      <c r="A1071" s="43"/>
      <c r="B1071" s="42" t="str">
        <f>IFERROR(AVERAGE(Data!B1073), "  ")</f>
        <v xml:space="preserve">  </v>
      </c>
      <c r="C1071" s="42" t="str">
        <f>IFERROR(AVERAGE(Data!C1073), "  ")</f>
        <v xml:space="preserve">  </v>
      </c>
      <c r="D1071" s="42" t="str">
        <f>IFERROR(AVERAGE(Data!D1073), "  ")</f>
        <v xml:space="preserve">  </v>
      </c>
      <c r="E1071" s="42" t="str">
        <f>IFERROR(AVERAGE(Data!E1073), "  ")</f>
        <v xml:space="preserve">  </v>
      </c>
      <c r="F1071" s="42" t="str">
        <f>IFERROR(AVERAGE(Data!F1073), "  ")</f>
        <v xml:space="preserve">  </v>
      </c>
      <c r="G1071" s="42" t="str">
        <f>IFERROR(AVERAGE(Data!G1073), "  ")</f>
        <v xml:space="preserve">  </v>
      </c>
      <c r="H1071" s="44" t="str">
        <f>IFERROR(AVERAGE(Data!H1073), "  ")</f>
        <v xml:space="preserve">  </v>
      </c>
      <c r="I1071" s="44" t="str">
        <f>IFERROR(AVERAGE(Data!I1073), "  ")</f>
        <v xml:space="preserve">  </v>
      </c>
      <c r="J1071" s="42" t="str">
        <f>IFERROR(AVERAGE(Data!J1073), "  ")</f>
        <v xml:space="preserve">  </v>
      </c>
      <c r="K1071" s="44" t="str">
        <f>IFERROR(AVERAGE(Data!K1073), "  ")</f>
        <v xml:space="preserve">  </v>
      </c>
      <c r="L1071" s="45" t="str">
        <f>IFERROR(AVERAGE(Data!L1073), "  ")</f>
        <v xml:space="preserve">  </v>
      </c>
    </row>
    <row r="1072" spans="1:12" x14ac:dyDescent="0.2">
      <c r="A1072" s="43"/>
      <c r="B1072" s="42" t="str">
        <f>IFERROR(AVERAGE(Data!B1074), "  ")</f>
        <v xml:space="preserve">  </v>
      </c>
      <c r="C1072" s="42" t="str">
        <f>IFERROR(AVERAGE(Data!C1074), "  ")</f>
        <v xml:space="preserve">  </v>
      </c>
      <c r="D1072" s="42" t="str">
        <f>IFERROR(AVERAGE(Data!D1074), "  ")</f>
        <v xml:space="preserve">  </v>
      </c>
      <c r="E1072" s="42" t="str">
        <f>IFERROR(AVERAGE(Data!E1074), "  ")</f>
        <v xml:space="preserve">  </v>
      </c>
      <c r="F1072" s="42" t="str">
        <f>IFERROR(AVERAGE(Data!F1074), "  ")</f>
        <v xml:space="preserve">  </v>
      </c>
      <c r="G1072" s="42" t="str">
        <f>IFERROR(AVERAGE(Data!G1074), "  ")</f>
        <v xml:space="preserve">  </v>
      </c>
      <c r="H1072" s="44" t="str">
        <f>IFERROR(AVERAGE(Data!H1074), "  ")</f>
        <v xml:space="preserve">  </v>
      </c>
      <c r="I1072" s="44" t="str">
        <f>IFERROR(AVERAGE(Data!I1074), "  ")</f>
        <v xml:space="preserve">  </v>
      </c>
      <c r="J1072" s="42" t="str">
        <f>IFERROR(AVERAGE(Data!J1074), "  ")</f>
        <v xml:space="preserve">  </v>
      </c>
      <c r="K1072" s="44" t="str">
        <f>IFERROR(AVERAGE(Data!K1074), "  ")</f>
        <v xml:space="preserve">  </v>
      </c>
      <c r="L1072" s="45" t="str">
        <f>IFERROR(AVERAGE(Data!L1074), "  ")</f>
        <v xml:space="preserve">  </v>
      </c>
    </row>
    <row r="1073" spans="1:12" x14ac:dyDescent="0.2">
      <c r="A1073" s="43"/>
      <c r="B1073" s="42" t="str">
        <f>IFERROR(AVERAGE(Data!B1075), "  ")</f>
        <v xml:space="preserve">  </v>
      </c>
      <c r="C1073" s="42" t="str">
        <f>IFERROR(AVERAGE(Data!C1075), "  ")</f>
        <v xml:space="preserve">  </v>
      </c>
      <c r="D1073" s="42" t="str">
        <f>IFERROR(AVERAGE(Data!D1075), "  ")</f>
        <v xml:space="preserve">  </v>
      </c>
      <c r="E1073" s="42" t="str">
        <f>IFERROR(AVERAGE(Data!E1075), "  ")</f>
        <v xml:space="preserve">  </v>
      </c>
      <c r="F1073" s="42" t="str">
        <f>IFERROR(AVERAGE(Data!F1075), "  ")</f>
        <v xml:space="preserve">  </v>
      </c>
      <c r="G1073" s="42" t="str">
        <f>IFERROR(AVERAGE(Data!G1075), "  ")</f>
        <v xml:space="preserve">  </v>
      </c>
      <c r="H1073" s="44" t="str">
        <f>IFERROR(AVERAGE(Data!H1075), "  ")</f>
        <v xml:space="preserve">  </v>
      </c>
      <c r="I1073" s="44" t="str">
        <f>IFERROR(AVERAGE(Data!I1075), "  ")</f>
        <v xml:space="preserve">  </v>
      </c>
      <c r="J1073" s="42" t="str">
        <f>IFERROR(AVERAGE(Data!J1075), "  ")</f>
        <v xml:space="preserve">  </v>
      </c>
      <c r="K1073" s="44" t="str">
        <f>IFERROR(AVERAGE(Data!K1075), "  ")</f>
        <v xml:space="preserve">  </v>
      </c>
      <c r="L1073" s="45" t="str">
        <f>IFERROR(AVERAGE(Data!L1075), "  ")</f>
        <v xml:space="preserve">  </v>
      </c>
    </row>
    <row r="1074" spans="1:12" x14ac:dyDescent="0.2">
      <c r="A1074" s="43"/>
      <c r="B1074" s="42" t="str">
        <f>IFERROR(AVERAGE(Data!B1076), "  ")</f>
        <v xml:space="preserve">  </v>
      </c>
      <c r="C1074" s="42" t="str">
        <f>IFERROR(AVERAGE(Data!C1076), "  ")</f>
        <v xml:space="preserve">  </v>
      </c>
      <c r="D1074" s="42" t="str">
        <f>IFERROR(AVERAGE(Data!D1076), "  ")</f>
        <v xml:space="preserve">  </v>
      </c>
      <c r="E1074" s="42" t="str">
        <f>IFERROR(AVERAGE(Data!E1076), "  ")</f>
        <v xml:space="preserve">  </v>
      </c>
      <c r="F1074" s="42" t="str">
        <f>IFERROR(AVERAGE(Data!F1076), "  ")</f>
        <v xml:space="preserve">  </v>
      </c>
      <c r="G1074" s="42" t="str">
        <f>IFERROR(AVERAGE(Data!G1076), "  ")</f>
        <v xml:space="preserve">  </v>
      </c>
      <c r="H1074" s="44" t="str">
        <f>IFERROR(AVERAGE(Data!H1076), "  ")</f>
        <v xml:space="preserve">  </v>
      </c>
      <c r="I1074" s="44" t="str">
        <f>IFERROR(AVERAGE(Data!I1076), "  ")</f>
        <v xml:space="preserve">  </v>
      </c>
      <c r="J1074" s="42" t="str">
        <f>IFERROR(AVERAGE(Data!J1076), "  ")</f>
        <v xml:space="preserve">  </v>
      </c>
      <c r="K1074" s="44" t="str">
        <f>IFERROR(AVERAGE(Data!K1076), "  ")</f>
        <v xml:space="preserve">  </v>
      </c>
      <c r="L1074" s="45" t="str">
        <f>IFERROR(AVERAGE(Data!L1076), "  ")</f>
        <v xml:space="preserve">  </v>
      </c>
    </row>
    <row r="1075" spans="1:12" x14ac:dyDescent="0.2">
      <c r="A1075" s="43"/>
      <c r="B1075" s="42" t="str">
        <f>IFERROR(AVERAGE(Data!B1077), "  ")</f>
        <v xml:space="preserve">  </v>
      </c>
      <c r="C1075" s="42" t="str">
        <f>IFERROR(AVERAGE(Data!C1077), "  ")</f>
        <v xml:space="preserve">  </v>
      </c>
      <c r="D1075" s="42" t="str">
        <f>IFERROR(AVERAGE(Data!D1077), "  ")</f>
        <v xml:space="preserve">  </v>
      </c>
      <c r="E1075" s="42" t="str">
        <f>IFERROR(AVERAGE(Data!E1077), "  ")</f>
        <v xml:space="preserve">  </v>
      </c>
      <c r="F1075" s="42" t="str">
        <f>IFERROR(AVERAGE(Data!F1077), "  ")</f>
        <v xml:space="preserve">  </v>
      </c>
      <c r="G1075" s="42" t="str">
        <f>IFERROR(AVERAGE(Data!G1077), "  ")</f>
        <v xml:space="preserve">  </v>
      </c>
      <c r="H1075" s="44" t="str">
        <f>IFERROR(AVERAGE(Data!H1077), "  ")</f>
        <v xml:space="preserve">  </v>
      </c>
      <c r="I1075" s="44" t="str">
        <f>IFERROR(AVERAGE(Data!I1077), "  ")</f>
        <v xml:space="preserve">  </v>
      </c>
      <c r="J1075" s="42" t="str">
        <f>IFERROR(AVERAGE(Data!J1077), "  ")</f>
        <v xml:space="preserve">  </v>
      </c>
      <c r="K1075" s="44" t="str">
        <f>IFERROR(AVERAGE(Data!K1077), "  ")</f>
        <v xml:space="preserve">  </v>
      </c>
      <c r="L1075" s="45" t="str">
        <f>IFERROR(AVERAGE(Data!L1077), "  ")</f>
        <v xml:space="preserve">  </v>
      </c>
    </row>
    <row r="1076" spans="1:12" x14ac:dyDescent="0.2">
      <c r="A1076" s="43"/>
      <c r="B1076" s="42" t="str">
        <f>IFERROR(AVERAGE(Data!B1078), "  ")</f>
        <v xml:space="preserve">  </v>
      </c>
      <c r="C1076" s="42" t="str">
        <f>IFERROR(AVERAGE(Data!C1078), "  ")</f>
        <v xml:space="preserve">  </v>
      </c>
      <c r="D1076" s="42" t="str">
        <f>IFERROR(AVERAGE(Data!D1078), "  ")</f>
        <v xml:space="preserve">  </v>
      </c>
      <c r="E1076" s="42" t="str">
        <f>IFERROR(AVERAGE(Data!E1078), "  ")</f>
        <v xml:space="preserve">  </v>
      </c>
      <c r="F1076" s="42" t="str">
        <f>IFERROR(AVERAGE(Data!F1078), "  ")</f>
        <v xml:space="preserve">  </v>
      </c>
      <c r="G1076" s="42" t="str">
        <f>IFERROR(AVERAGE(Data!G1078), "  ")</f>
        <v xml:space="preserve">  </v>
      </c>
      <c r="H1076" s="44" t="str">
        <f>IFERROR(AVERAGE(Data!H1078), "  ")</f>
        <v xml:space="preserve">  </v>
      </c>
      <c r="I1076" s="44" t="str">
        <f>IFERROR(AVERAGE(Data!I1078), "  ")</f>
        <v xml:space="preserve">  </v>
      </c>
      <c r="J1076" s="42" t="str">
        <f>IFERROR(AVERAGE(Data!J1078), "  ")</f>
        <v xml:space="preserve">  </v>
      </c>
      <c r="K1076" s="44" t="str">
        <f>IFERROR(AVERAGE(Data!K1078), "  ")</f>
        <v xml:space="preserve">  </v>
      </c>
      <c r="L1076" s="45" t="str">
        <f>IFERROR(AVERAGE(Data!L1078), "  ")</f>
        <v xml:space="preserve">  </v>
      </c>
    </row>
    <row r="1077" spans="1:12" x14ac:dyDescent="0.2">
      <c r="A1077" s="43"/>
      <c r="B1077" s="42" t="str">
        <f>IFERROR(AVERAGE(Data!B1079), "  ")</f>
        <v xml:space="preserve">  </v>
      </c>
      <c r="C1077" s="42" t="str">
        <f>IFERROR(AVERAGE(Data!C1079), "  ")</f>
        <v xml:space="preserve">  </v>
      </c>
      <c r="D1077" s="42" t="str">
        <f>IFERROR(AVERAGE(Data!D1079), "  ")</f>
        <v xml:space="preserve">  </v>
      </c>
      <c r="E1077" s="42" t="str">
        <f>IFERROR(AVERAGE(Data!E1079), "  ")</f>
        <v xml:space="preserve">  </v>
      </c>
      <c r="F1077" s="42" t="str">
        <f>IFERROR(AVERAGE(Data!F1079), "  ")</f>
        <v xml:space="preserve">  </v>
      </c>
      <c r="G1077" s="42" t="str">
        <f>IFERROR(AVERAGE(Data!G1079), "  ")</f>
        <v xml:space="preserve">  </v>
      </c>
      <c r="H1077" s="44" t="str">
        <f>IFERROR(AVERAGE(Data!H1079), "  ")</f>
        <v xml:space="preserve">  </v>
      </c>
      <c r="I1077" s="44" t="str">
        <f>IFERROR(AVERAGE(Data!I1079), "  ")</f>
        <v xml:space="preserve">  </v>
      </c>
      <c r="J1077" s="42" t="str">
        <f>IFERROR(AVERAGE(Data!J1079), "  ")</f>
        <v xml:space="preserve">  </v>
      </c>
      <c r="K1077" s="44" t="str">
        <f>IFERROR(AVERAGE(Data!K1079), "  ")</f>
        <v xml:space="preserve">  </v>
      </c>
      <c r="L1077" s="45" t="str">
        <f>IFERROR(AVERAGE(Data!L1079), "  ")</f>
        <v xml:space="preserve">  </v>
      </c>
    </row>
    <row r="1078" spans="1:12" x14ac:dyDescent="0.2">
      <c r="A1078" s="43"/>
      <c r="B1078" s="42" t="str">
        <f>IFERROR(AVERAGE(Data!B1080), "  ")</f>
        <v xml:space="preserve">  </v>
      </c>
      <c r="C1078" s="42" t="str">
        <f>IFERROR(AVERAGE(Data!C1080), "  ")</f>
        <v xml:space="preserve">  </v>
      </c>
      <c r="D1078" s="42" t="str">
        <f>IFERROR(AVERAGE(Data!D1080), "  ")</f>
        <v xml:space="preserve">  </v>
      </c>
      <c r="E1078" s="42" t="str">
        <f>IFERROR(AVERAGE(Data!E1080), "  ")</f>
        <v xml:space="preserve">  </v>
      </c>
      <c r="F1078" s="42" t="str">
        <f>IFERROR(AVERAGE(Data!F1080), "  ")</f>
        <v xml:space="preserve">  </v>
      </c>
      <c r="G1078" s="42" t="str">
        <f>IFERROR(AVERAGE(Data!G1080), "  ")</f>
        <v xml:space="preserve">  </v>
      </c>
      <c r="H1078" s="44" t="str">
        <f>IFERROR(AVERAGE(Data!H1080), "  ")</f>
        <v xml:space="preserve">  </v>
      </c>
      <c r="I1078" s="44" t="str">
        <f>IFERROR(AVERAGE(Data!I1080), "  ")</f>
        <v xml:space="preserve">  </v>
      </c>
      <c r="J1078" s="42" t="str">
        <f>IFERROR(AVERAGE(Data!J1080), "  ")</f>
        <v xml:space="preserve">  </v>
      </c>
      <c r="K1078" s="44" t="str">
        <f>IFERROR(AVERAGE(Data!K1080), "  ")</f>
        <v xml:space="preserve">  </v>
      </c>
      <c r="L1078" s="45" t="str">
        <f>IFERROR(AVERAGE(Data!L1080), "  ")</f>
        <v xml:space="preserve">  </v>
      </c>
    </row>
    <row r="1079" spans="1:12" x14ac:dyDescent="0.2">
      <c r="A1079" s="43"/>
      <c r="B1079" s="42" t="str">
        <f>IFERROR(AVERAGE(Data!B1081), "  ")</f>
        <v xml:space="preserve">  </v>
      </c>
      <c r="C1079" s="42" t="str">
        <f>IFERROR(AVERAGE(Data!C1081), "  ")</f>
        <v xml:space="preserve">  </v>
      </c>
      <c r="D1079" s="42" t="str">
        <f>IFERROR(AVERAGE(Data!D1081), "  ")</f>
        <v xml:space="preserve">  </v>
      </c>
      <c r="E1079" s="42" t="str">
        <f>IFERROR(AVERAGE(Data!E1081), "  ")</f>
        <v xml:space="preserve">  </v>
      </c>
      <c r="F1079" s="42" t="str">
        <f>IFERROR(AVERAGE(Data!F1081), "  ")</f>
        <v xml:space="preserve">  </v>
      </c>
      <c r="G1079" s="42" t="str">
        <f>IFERROR(AVERAGE(Data!G1081), "  ")</f>
        <v xml:space="preserve">  </v>
      </c>
      <c r="H1079" s="44" t="str">
        <f>IFERROR(AVERAGE(Data!H1081), "  ")</f>
        <v xml:space="preserve">  </v>
      </c>
      <c r="I1079" s="44" t="str">
        <f>IFERROR(AVERAGE(Data!I1081), "  ")</f>
        <v xml:space="preserve">  </v>
      </c>
      <c r="J1079" s="42" t="str">
        <f>IFERROR(AVERAGE(Data!J1081), "  ")</f>
        <v xml:space="preserve">  </v>
      </c>
      <c r="K1079" s="44" t="str">
        <f>IFERROR(AVERAGE(Data!K1081), "  ")</f>
        <v xml:space="preserve">  </v>
      </c>
      <c r="L1079" s="45" t="str">
        <f>IFERROR(AVERAGE(Data!L1081), "  ")</f>
        <v xml:space="preserve">  </v>
      </c>
    </row>
    <row r="1080" spans="1:12" x14ac:dyDescent="0.2">
      <c r="A1080" s="43"/>
      <c r="B1080" s="42" t="str">
        <f>IFERROR(AVERAGE(Data!B1082), "  ")</f>
        <v xml:space="preserve">  </v>
      </c>
      <c r="C1080" s="42" t="str">
        <f>IFERROR(AVERAGE(Data!C1082), "  ")</f>
        <v xml:space="preserve">  </v>
      </c>
      <c r="D1080" s="42" t="str">
        <f>IFERROR(AVERAGE(Data!D1082), "  ")</f>
        <v xml:space="preserve">  </v>
      </c>
      <c r="E1080" s="42" t="str">
        <f>IFERROR(AVERAGE(Data!E1082), "  ")</f>
        <v xml:space="preserve">  </v>
      </c>
      <c r="F1080" s="42" t="str">
        <f>IFERROR(AVERAGE(Data!F1082), "  ")</f>
        <v xml:space="preserve">  </v>
      </c>
      <c r="G1080" s="42" t="str">
        <f>IFERROR(AVERAGE(Data!G1082), "  ")</f>
        <v xml:space="preserve">  </v>
      </c>
      <c r="H1080" s="44" t="str">
        <f>IFERROR(AVERAGE(Data!H1082), "  ")</f>
        <v xml:space="preserve">  </v>
      </c>
      <c r="I1080" s="44" t="str">
        <f>IFERROR(AVERAGE(Data!I1082), "  ")</f>
        <v xml:space="preserve">  </v>
      </c>
      <c r="J1080" s="42" t="str">
        <f>IFERROR(AVERAGE(Data!J1082), "  ")</f>
        <v xml:space="preserve">  </v>
      </c>
      <c r="K1080" s="44" t="str">
        <f>IFERROR(AVERAGE(Data!K1082), "  ")</f>
        <v xml:space="preserve">  </v>
      </c>
      <c r="L1080" s="45" t="str">
        <f>IFERROR(AVERAGE(Data!L1082), "  ")</f>
        <v xml:space="preserve">  </v>
      </c>
    </row>
    <row r="1081" spans="1:12" x14ac:dyDescent="0.2">
      <c r="A1081" s="43"/>
      <c r="B1081" s="42" t="str">
        <f>IFERROR(AVERAGE(Data!B1083), "  ")</f>
        <v xml:space="preserve">  </v>
      </c>
      <c r="C1081" s="42" t="str">
        <f>IFERROR(AVERAGE(Data!C1083), "  ")</f>
        <v xml:space="preserve">  </v>
      </c>
      <c r="D1081" s="42" t="str">
        <f>IFERROR(AVERAGE(Data!D1083), "  ")</f>
        <v xml:space="preserve">  </v>
      </c>
      <c r="E1081" s="42" t="str">
        <f>IFERROR(AVERAGE(Data!E1083), "  ")</f>
        <v xml:space="preserve">  </v>
      </c>
      <c r="F1081" s="42" t="str">
        <f>IFERROR(AVERAGE(Data!F1083), "  ")</f>
        <v xml:space="preserve">  </v>
      </c>
      <c r="G1081" s="42" t="str">
        <f>IFERROR(AVERAGE(Data!G1083), "  ")</f>
        <v xml:space="preserve">  </v>
      </c>
      <c r="H1081" s="44" t="str">
        <f>IFERROR(AVERAGE(Data!H1083), "  ")</f>
        <v xml:space="preserve">  </v>
      </c>
      <c r="I1081" s="44" t="str">
        <f>IFERROR(AVERAGE(Data!I1083), "  ")</f>
        <v xml:space="preserve">  </v>
      </c>
      <c r="J1081" s="42" t="str">
        <f>IFERROR(AVERAGE(Data!J1083), "  ")</f>
        <v xml:space="preserve">  </v>
      </c>
      <c r="K1081" s="44" t="str">
        <f>IFERROR(AVERAGE(Data!K1083), "  ")</f>
        <v xml:space="preserve">  </v>
      </c>
      <c r="L1081" s="45" t="str">
        <f>IFERROR(AVERAGE(Data!L1083), "  ")</f>
        <v xml:space="preserve">  </v>
      </c>
    </row>
    <row r="1082" spans="1:12" x14ac:dyDescent="0.2">
      <c r="A1082" s="43"/>
      <c r="B1082" s="42" t="str">
        <f>IFERROR(AVERAGE(Data!B1084), "  ")</f>
        <v xml:space="preserve">  </v>
      </c>
      <c r="C1082" s="42" t="str">
        <f>IFERROR(AVERAGE(Data!C1084), "  ")</f>
        <v xml:space="preserve">  </v>
      </c>
      <c r="D1082" s="42" t="str">
        <f>IFERROR(AVERAGE(Data!D1084), "  ")</f>
        <v xml:space="preserve">  </v>
      </c>
      <c r="E1082" s="42" t="str">
        <f>IFERROR(AVERAGE(Data!E1084), "  ")</f>
        <v xml:space="preserve">  </v>
      </c>
      <c r="F1082" s="42" t="str">
        <f>IFERROR(AVERAGE(Data!F1084), "  ")</f>
        <v xml:space="preserve">  </v>
      </c>
      <c r="G1082" s="42" t="str">
        <f>IFERROR(AVERAGE(Data!G1084), "  ")</f>
        <v xml:space="preserve">  </v>
      </c>
      <c r="H1082" s="44" t="str">
        <f>IFERROR(AVERAGE(Data!H1084), "  ")</f>
        <v xml:space="preserve">  </v>
      </c>
      <c r="I1082" s="44" t="str">
        <f>IFERROR(AVERAGE(Data!I1084), "  ")</f>
        <v xml:space="preserve">  </v>
      </c>
      <c r="J1082" s="42" t="str">
        <f>IFERROR(AVERAGE(Data!J1084), "  ")</f>
        <v xml:space="preserve">  </v>
      </c>
      <c r="K1082" s="44" t="str">
        <f>IFERROR(AVERAGE(Data!K1084), "  ")</f>
        <v xml:space="preserve">  </v>
      </c>
      <c r="L1082" s="45" t="str">
        <f>IFERROR(AVERAGE(Data!L1084), "  ")</f>
        <v xml:space="preserve">  </v>
      </c>
    </row>
    <row r="1083" spans="1:12" x14ac:dyDescent="0.2">
      <c r="A1083" s="43"/>
      <c r="B1083" s="42" t="str">
        <f>IFERROR(AVERAGE(Data!B1085), "  ")</f>
        <v xml:space="preserve">  </v>
      </c>
      <c r="C1083" s="42" t="str">
        <f>IFERROR(AVERAGE(Data!C1085), "  ")</f>
        <v xml:space="preserve">  </v>
      </c>
      <c r="D1083" s="42" t="str">
        <f>IFERROR(AVERAGE(Data!D1085), "  ")</f>
        <v xml:space="preserve">  </v>
      </c>
      <c r="E1083" s="42" t="str">
        <f>IFERROR(AVERAGE(Data!E1085), "  ")</f>
        <v xml:space="preserve">  </v>
      </c>
      <c r="F1083" s="42" t="str">
        <f>IFERROR(AVERAGE(Data!F1085), "  ")</f>
        <v xml:space="preserve">  </v>
      </c>
      <c r="G1083" s="42" t="str">
        <f>IFERROR(AVERAGE(Data!G1085), "  ")</f>
        <v xml:space="preserve">  </v>
      </c>
      <c r="H1083" s="44" t="str">
        <f>IFERROR(AVERAGE(Data!H1085), "  ")</f>
        <v xml:space="preserve">  </v>
      </c>
      <c r="I1083" s="44" t="str">
        <f>IFERROR(AVERAGE(Data!I1085), "  ")</f>
        <v xml:space="preserve">  </v>
      </c>
      <c r="J1083" s="42" t="str">
        <f>IFERROR(AVERAGE(Data!J1085), "  ")</f>
        <v xml:space="preserve">  </v>
      </c>
      <c r="K1083" s="44" t="str">
        <f>IFERROR(AVERAGE(Data!K1085), "  ")</f>
        <v xml:space="preserve">  </v>
      </c>
      <c r="L1083" s="45" t="str">
        <f>IFERROR(AVERAGE(Data!L1085), "  ")</f>
        <v xml:space="preserve">  </v>
      </c>
    </row>
    <row r="1084" spans="1:12" x14ac:dyDescent="0.2">
      <c r="A1084" s="43"/>
      <c r="B1084" s="42" t="str">
        <f>IFERROR(AVERAGE(Data!B1086), "  ")</f>
        <v xml:space="preserve">  </v>
      </c>
      <c r="C1084" s="42" t="str">
        <f>IFERROR(AVERAGE(Data!C1086), "  ")</f>
        <v xml:space="preserve">  </v>
      </c>
      <c r="D1084" s="42" t="str">
        <f>IFERROR(AVERAGE(Data!D1086), "  ")</f>
        <v xml:space="preserve">  </v>
      </c>
      <c r="E1084" s="42" t="str">
        <f>IFERROR(AVERAGE(Data!E1086), "  ")</f>
        <v xml:space="preserve">  </v>
      </c>
      <c r="F1084" s="42" t="str">
        <f>IFERROR(AVERAGE(Data!F1086), "  ")</f>
        <v xml:space="preserve">  </v>
      </c>
      <c r="G1084" s="42" t="str">
        <f>IFERROR(AVERAGE(Data!G1086), "  ")</f>
        <v xml:space="preserve">  </v>
      </c>
      <c r="H1084" s="44" t="str">
        <f>IFERROR(AVERAGE(Data!H1086), "  ")</f>
        <v xml:space="preserve">  </v>
      </c>
      <c r="I1084" s="44" t="str">
        <f>IFERROR(AVERAGE(Data!I1086), "  ")</f>
        <v xml:space="preserve">  </v>
      </c>
      <c r="J1084" s="42" t="str">
        <f>IFERROR(AVERAGE(Data!J1086), "  ")</f>
        <v xml:space="preserve">  </v>
      </c>
      <c r="K1084" s="44" t="str">
        <f>IFERROR(AVERAGE(Data!K1086), "  ")</f>
        <v xml:space="preserve">  </v>
      </c>
      <c r="L1084" s="45" t="str">
        <f>IFERROR(AVERAGE(Data!L1086), "  ")</f>
        <v xml:space="preserve">  </v>
      </c>
    </row>
    <row r="1085" spans="1:12" x14ac:dyDescent="0.2">
      <c r="A1085" s="43"/>
      <c r="B1085" s="42" t="str">
        <f>IFERROR(AVERAGE(Data!B1087), "  ")</f>
        <v xml:space="preserve">  </v>
      </c>
      <c r="C1085" s="42" t="str">
        <f>IFERROR(AVERAGE(Data!C1087), "  ")</f>
        <v xml:space="preserve">  </v>
      </c>
      <c r="D1085" s="42" t="str">
        <f>IFERROR(AVERAGE(Data!D1087), "  ")</f>
        <v xml:space="preserve">  </v>
      </c>
      <c r="E1085" s="42" t="str">
        <f>IFERROR(AVERAGE(Data!E1087), "  ")</f>
        <v xml:space="preserve">  </v>
      </c>
      <c r="F1085" s="42" t="str">
        <f>IFERROR(AVERAGE(Data!F1087), "  ")</f>
        <v xml:space="preserve">  </v>
      </c>
      <c r="G1085" s="42" t="str">
        <f>IFERROR(AVERAGE(Data!G1087), "  ")</f>
        <v xml:space="preserve">  </v>
      </c>
      <c r="H1085" s="44" t="str">
        <f>IFERROR(AVERAGE(Data!H1087), "  ")</f>
        <v xml:space="preserve">  </v>
      </c>
      <c r="I1085" s="44" t="str">
        <f>IFERROR(AVERAGE(Data!I1087), "  ")</f>
        <v xml:space="preserve">  </v>
      </c>
      <c r="J1085" s="42" t="str">
        <f>IFERROR(AVERAGE(Data!J1087), "  ")</f>
        <v xml:space="preserve">  </v>
      </c>
      <c r="K1085" s="44" t="str">
        <f>IFERROR(AVERAGE(Data!K1087), "  ")</f>
        <v xml:space="preserve">  </v>
      </c>
      <c r="L1085" s="45" t="str">
        <f>IFERROR(AVERAGE(Data!L1087), "  ")</f>
        <v xml:space="preserve">  </v>
      </c>
    </row>
    <row r="1086" spans="1:12" x14ac:dyDescent="0.2">
      <c r="A1086" s="43"/>
      <c r="B1086" s="42" t="str">
        <f>IFERROR(AVERAGE(Data!B1088), "  ")</f>
        <v xml:space="preserve">  </v>
      </c>
      <c r="C1086" s="42" t="str">
        <f>IFERROR(AVERAGE(Data!C1088), "  ")</f>
        <v xml:space="preserve">  </v>
      </c>
      <c r="D1086" s="42" t="str">
        <f>IFERROR(AVERAGE(Data!D1088), "  ")</f>
        <v xml:space="preserve">  </v>
      </c>
      <c r="E1086" s="42" t="str">
        <f>IFERROR(AVERAGE(Data!E1088), "  ")</f>
        <v xml:space="preserve">  </v>
      </c>
      <c r="F1086" s="42" t="str">
        <f>IFERROR(AVERAGE(Data!F1088), "  ")</f>
        <v xml:space="preserve">  </v>
      </c>
      <c r="G1086" s="42" t="str">
        <f>IFERROR(AVERAGE(Data!G1088), "  ")</f>
        <v xml:space="preserve">  </v>
      </c>
      <c r="H1086" s="44" t="str">
        <f>IFERROR(AVERAGE(Data!H1088), "  ")</f>
        <v xml:space="preserve">  </v>
      </c>
      <c r="I1086" s="44" t="str">
        <f>IFERROR(AVERAGE(Data!I1088), "  ")</f>
        <v xml:space="preserve">  </v>
      </c>
      <c r="J1086" s="42" t="str">
        <f>IFERROR(AVERAGE(Data!J1088), "  ")</f>
        <v xml:space="preserve">  </v>
      </c>
      <c r="K1086" s="44" t="str">
        <f>IFERROR(AVERAGE(Data!K1088), "  ")</f>
        <v xml:space="preserve">  </v>
      </c>
      <c r="L1086" s="45" t="str">
        <f>IFERROR(AVERAGE(Data!L1088), "  ")</f>
        <v xml:space="preserve">  </v>
      </c>
    </row>
    <row r="1087" spans="1:12" x14ac:dyDescent="0.2">
      <c r="A1087" s="43"/>
      <c r="B1087" s="42" t="str">
        <f>IFERROR(AVERAGE(Data!B1089), "  ")</f>
        <v xml:space="preserve">  </v>
      </c>
      <c r="C1087" s="42" t="str">
        <f>IFERROR(AVERAGE(Data!C1089), "  ")</f>
        <v xml:space="preserve">  </v>
      </c>
      <c r="D1087" s="42" t="str">
        <f>IFERROR(AVERAGE(Data!D1089), "  ")</f>
        <v xml:space="preserve">  </v>
      </c>
      <c r="E1087" s="42" t="str">
        <f>IFERROR(AVERAGE(Data!E1089), "  ")</f>
        <v xml:space="preserve">  </v>
      </c>
      <c r="F1087" s="42" t="str">
        <f>IFERROR(AVERAGE(Data!F1089), "  ")</f>
        <v xml:space="preserve">  </v>
      </c>
      <c r="G1087" s="42" t="str">
        <f>IFERROR(AVERAGE(Data!G1089), "  ")</f>
        <v xml:space="preserve">  </v>
      </c>
      <c r="H1087" s="44" t="str">
        <f>IFERROR(AVERAGE(Data!H1089), "  ")</f>
        <v xml:space="preserve">  </v>
      </c>
      <c r="I1087" s="44" t="str">
        <f>IFERROR(AVERAGE(Data!I1089), "  ")</f>
        <v xml:space="preserve">  </v>
      </c>
      <c r="J1087" s="42" t="str">
        <f>IFERROR(AVERAGE(Data!J1089), "  ")</f>
        <v xml:space="preserve">  </v>
      </c>
      <c r="K1087" s="44" t="str">
        <f>IFERROR(AVERAGE(Data!K1089), "  ")</f>
        <v xml:space="preserve">  </v>
      </c>
      <c r="L1087" s="45" t="str">
        <f>IFERROR(AVERAGE(Data!L1089), "  ")</f>
        <v xml:space="preserve">  </v>
      </c>
    </row>
    <row r="1088" spans="1:12" x14ac:dyDescent="0.2">
      <c r="A1088" s="43"/>
      <c r="B1088" s="42" t="str">
        <f>IFERROR(AVERAGE(Data!B1090), "  ")</f>
        <v xml:space="preserve">  </v>
      </c>
      <c r="C1088" s="42" t="str">
        <f>IFERROR(AVERAGE(Data!C1090), "  ")</f>
        <v xml:space="preserve">  </v>
      </c>
      <c r="D1088" s="42" t="str">
        <f>IFERROR(AVERAGE(Data!D1090), "  ")</f>
        <v xml:space="preserve">  </v>
      </c>
      <c r="E1088" s="42" t="str">
        <f>IFERROR(AVERAGE(Data!E1090), "  ")</f>
        <v xml:space="preserve">  </v>
      </c>
      <c r="F1088" s="42" t="str">
        <f>IFERROR(AVERAGE(Data!F1090), "  ")</f>
        <v xml:space="preserve">  </v>
      </c>
      <c r="G1088" s="42" t="str">
        <f>IFERROR(AVERAGE(Data!G1090), "  ")</f>
        <v xml:space="preserve">  </v>
      </c>
      <c r="H1088" s="44" t="str">
        <f>IFERROR(AVERAGE(Data!H1090), "  ")</f>
        <v xml:space="preserve">  </v>
      </c>
      <c r="I1088" s="44" t="str">
        <f>IFERROR(AVERAGE(Data!I1090), "  ")</f>
        <v xml:space="preserve">  </v>
      </c>
      <c r="J1088" s="42" t="str">
        <f>IFERROR(AVERAGE(Data!J1090), "  ")</f>
        <v xml:space="preserve">  </v>
      </c>
      <c r="K1088" s="44" t="str">
        <f>IFERROR(AVERAGE(Data!K1090), "  ")</f>
        <v xml:space="preserve">  </v>
      </c>
      <c r="L1088" s="45" t="str">
        <f>IFERROR(AVERAGE(Data!L1090), "  ")</f>
        <v xml:space="preserve">  </v>
      </c>
    </row>
    <row r="1089" spans="1:12" x14ac:dyDescent="0.2">
      <c r="A1089" s="43"/>
      <c r="B1089" s="42" t="str">
        <f>IFERROR(AVERAGE(Data!B1091), "  ")</f>
        <v xml:space="preserve">  </v>
      </c>
      <c r="C1089" s="42" t="str">
        <f>IFERROR(AVERAGE(Data!C1091), "  ")</f>
        <v xml:space="preserve">  </v>
      </c>
      <c r="D1089" s="42" t="str">
        <f>IFERROR(AVERAGE(Data!D1091), "  ")</f>
        <v xml:space="preserve">  </v>
      </c>
      <c r="E1089" s="42" t="str">
        <f>IFERROR(AVERAGE(Data!E1091), "  ")</f>
        <v xml:space="preserve">  </v>
      </c>
      <c r="F1089" s="42" t="str">
        <f>IFERROR(AVERAGE(Data!F1091), "  ")</f>
        <v xml:space="preserve">  </v>
      </c>
      <c r="G1089" s="42" t="str">
        <f>IFERROR(AVERAGE(Data!G1091), "  ")</f>
        <v xml:space="preserve">  </v>
      </c>
      <c r="H1089" s="44" t="str">
        <f>IFERROR(AVERAGE(Data!H1091), "  ")</f>
        <v xml:space="preserve">  </v>
      </c>
      <c r="I1089" s="44" t="str">
        <f>IFERROR(AVERAGE(Data!I1091), "  ")</f>
        <v xml:space="preserve">  </v>
      </c>
      <c r="J1089" s="42" t="str">
        <f>IFERROR(AVERAGE(Data!J1091), "  ")</f>
        <v xml:space="preserve">  </v>
      </c>
      <c r="K1089" s="44" t="str">
        <f>IFERROR(AVERAGE(Data!K1091), "  ")</f>
        <v xml:space="preserve">  </v>
      </c>
      <c r="L1089" s="45" t="str">
        <f>IFERROR(AVERAGE(Data!L1091), "  ")</f>
        <v xml:space="preserve">  </v>
      </c>
    </row>
    <row r="1090" spans="1:12" x14ac:dyDescent="0.2">
      <c r="A1090" s="43"/>
      <c r="B1090" s="42" t="str">
        <f>IFERROR(AVERAGE(Data!B1092), "  ")</f>
        <v xml:space="preserve">  </v>
      </c>
      <c r="C1090" s="42" t="str">
        <f>IFERROR(AVERAGE(Data!C1092), "  ")</f>
        <v xml:space="preserve">  </v>
      </c>
      <c r="D1090" s="42" t="str">
        <f>IFERROR(AVERAGE(Data!D1092), "  ")</f>
        <v xml:space="preserve">  </v>
      </c>
      <c r="E1090" s="42" t="str">
        <f>IFERROR(AVERAGE(Data!E1092), "  ")</f>
        <v xml:space="preserve">  </v>
      </c>
      <c r="F1090" s="42" t="str">
        <f>IFERROR(AVERAGE(Data!F1092), "  ")</f>
        <v xml:space="preserve">  </v>
      </c>
      <c r="G1090" s="42" t="str">
        <f>IFERROR(AVERAGE(Data!G1092), "  ")</f>
        <v xml:space="preserve">  </v>
      </c>
      <c r="H1090" s="44" t="str">
        <f>IFERROR(AVERAGE(Data!H1092), "  ")</f>
        <v xml:space="preserve">  </v>
      </c>
      <c r="I1090" s="44" t="str">
        <f>IFERROR(AVERAGE(Data!I1092), "  ")</f>
        <v xml:space="preserve">  </v>
      </c>
      <c r="J1090" s="42" t="str">
        <f>IFERROR(AVERAGE(Data!J1092), "  ")</f>
        <v xml:space="preserve">  </v>
      </c>
      <c r="K1090" s="44" t="str">
        <f>IFERROR(AVERAGE(Data!K1092), "  ")</f>
        <v xml:space="preserve">  </v>
      </c>
      <c r="L1090" s="45" t="str">
        <f>IFERROR(AVERAGE(Data!L1092), "  ")</f>
        <v xml:space="preserve">  </v>
      </c>
    </row>
    <row r="1091" spans="1:12" x14ac:dyDescent="0.2">
      <c r="A1091" s="43"/>
      <c r="B1091" s="42" t="str">
        <f>IFERROR(AVERAGE(Data!B1093), "  ")</f>
        <v xml:space="preserve">  </v>
      </c>
      <c r="C1091" s="42" t="str">
        <f>IFERROR(AVERAGE(Data!C1093), "  ")</f>
        <v xml:space="preserve">  </v>
      </c>
      <c r="D1091" s="42" t="str">
        <f>IFERROR(AVERAGE(Data!D1093), "  ")</f>
        <v xml:space="preserve">  </v>
      </c>
      <c r="E1091" s="42" t="str">
        <f>IFERROR(AVERAGE(Data!E1093), "  ")</f>
        <v xml:space="preserve">  </v>
      </c>
      <c r="F1091" s="42" t="str">
        <f>IFERROR(AVERAGE(Data!F1093), "  ")</f>
        <v xml:space="preserve">  </v>
      </c>
      <c r="G1091" s="42" t="str">
        <f>IFERROR(AVERAGE(Data!G1093), "  ")</f>
        <v xml:space="preserve">  </v>
      </c>
      <c r="H1091" s="44" t="str">
        <f>IFERROR(AVERAGE(Data!H1093), "  ")</f>
        <v xml:space="preserve">  </v>
      </c>
      <c r="I1091" s="44" t="str">
        <f>IFERROR(AVERAGE(Data!I1093), "  ")</f>
        <v xml:space="preserve">  </v>
      </c>
      <c r="J1091" s="42" t="str">
        <f>IFERROR(AVERAGE(Data!J1093), "  ")</f>
        <v xml:space="preserve">  </v>
      </c>
      <c r="K1091" s="44" t="str">
        <f>IFERROR(AVERAGE(Data!K1093), "  ")</f>
        <v xml:space="preserve">  </v>
      </c>
      <c r="L1091" s="45" t="str">
        <f>IFERROR(AVERAGE(Data!L1093), "  ")</f>
        <v xml:space="preserve">  </v>
      </c>
    </row>
    <row r="1092" spans="1:12" x14ac:dyDescent="0.2">
      <c r="A1092" s="43"/>
      <c r="B1092" s="42" t="str">
        <f>IFERROR(AVERAGE(Data!B1094), "  ")</f>
        <v xml:space="preserve">  </v>
      </c>
      <c r="C1092" s="42" t="str">
        <f>IFERROR(AVERAGE(Data!C1094), "  ")</f>
        <v xml:space="preserve">  </v>
      </c>
      <c r="D1092" s="42" t="str">
        <f>IFERROR(AVERAGE(Data!D1094), "  ")</f>
        <v xml:space="preserve">  </v>
      </c>
      <c r="E1092" s="42" t="str">
        <f>IFERROR(AVERAGE(Data!E1094), "  ")</f>
        <v xml:space="preserve">  </v>
      </c>
      <c r="F1092" s="42" t="str">
        <f>IFERROR(AVERAGE(Data!F1094), "  ")</f>
        <v xml:space="preserve">  </v>
      </c>
      <c r="G1092" s="42" t="str">
        <f>IFERROR(AVERAGE(Data!G1094), "  ")</f>
        <v xml:space="preserve">  </v>
      </c>
      <c r="H1092" s="44" t="str">
        <f>IFERROR(AVERAGE(Data!H1094), "  ")</f>
        <v xml:space="preserve">  </v>
      </c>
      <c r="I1092" s="44" t="str">
        <f>IFERROR(AVERAGE(Data!I1094), "  ")</f>
        <v xml:space="preserve">  </v>
      </c>
      <c r="J1092" s="42" t="str">
        <f>IFERROR(AVERAGE(Data!J1094), "  ")</f>
        <v xml:space="preserve">  </v>
      </c>
      <c r="K1092" s="44" t="str">
        <f>IFERROR(AVERAGE(Data!K1094), "  ")</f>
        <v xml:space="preserve">  </v>
      </c>
      <c r="L1092" s="45" t="str">
        <f>IFERROR(AVERAGE(Data!L1094), "  ")</f>
        <v xml:space="preserve">  </v>
      </c>
    </row>
    <row r="1093" spans="1:12" x14ac:dyDescent="0.2">
      <c r="A1093" s="43"/>
      <c r="B1093" s="42" t="str">
        <f>IFERROR(AVERAGE(Data!B1095), "  ")</f>
        <v xml:space="preserve">  </v>
      </c>
      <c r="C1093" s="42" t="str">
        <f>IFERROR(AVERAGE(Data!C1095), "  ")</f>
        <v xml:space="preserve">  </v>
      </c>
      <c r="D1093" s="42" t="str">
        <f>IFERROR(AVERAGE(Data!D1095), "  ")</f>
        <v xml:space="preserve">  </v>
      </c>
      <c r="E1093" s="42" t="str">
        <f>IFERROR(AVERAGE(Data!E1095), "  ")</f>
        <v xml:space="preserve">  </v>
      </c>
      <c r="F1093" s="42" t="str">
        <f>IFERROR(AVERAGE(Data!F1095), "  ")</f>
        <v xml:space="preserve">  </v>
      </c>
      <c r="G1093" s="42" t="str">
        <f>IFERROR(AVERAGE(Data!G1095), "  ")</f>
        <v xml:space="preserve">  </v>
      </c>
      <c r="H1093" s="44" t="str">
        <f>IFERROR(AVERAGE(Data!H1095), "  ")</f>
        <v xml:space="preserve">  </v>
      </c>
      <c r="I1093" s="44" t="str">
        <f>IFERROR(AVERAGE(Data!I1095), "  ")</f>
        <v xml:space="preserve">  </v>
      </c>
      <c r="J1093" s="42" t="str">
        <f>IFERROR(AVERAGE(Data!J1095), "  ")</f>
        <v xml:space="preserve">  </v>
      </c>
      <c r="K1093" s="44" t="str">
        <f>IFERROR(AVERAGE(Data!K1095), "  ")</f>
        <v xml:space="preserve">  </v>
      </c>
      <c r="L1093" s="45" t="str">
        <f>IFERROR(AVERAGE(Data!L1095), "  ")</f>
        <v xml:space="preserve">  </v>
      </c>
    </row>
    <row r="1094" spans="1:12" x14ac:dyDescent="0.2">
      <c r="A1094" s="43"/>
      <c r="B1094" s="42" t="str">
        <f>IFERROR(AVERAGE(Data!B1096), "  ")</f>
        <v xml:space="preserve">  </v>
      </c>
      <c r="C1094" s="42" t="str">
        <f>IFERROR(AVERAGE(Data!C1096), "  ")</f>
        <v xml:space="preserve">  </v>
      </c>
      <c r="D1094" s="42" t="str">
        <f>IFERROR(AVERAGE(Data!D1096), "  ")</f>
        <v xml:space="preserve">  </v>
      </c>
      <c r="E1094" s="42" t="str">
        <f>IFERROR(AVERAGE(Data!E1096), "  ")</f>
        <v xml:space="preserve">  </v>
      </c>
      <c r="F1094" s="42" t="str">
        <f>IFERROR(AVERAGE(Data!F1096), "  ")</f>
        <v xml:space="preserve">  </v>
      </c>
      <c r="G1094" s="42" t="str">
        <f>IFERROR(AVERAGE(Data!G1096), "  ")</f>
        <v xml:space="preserve">  </v>
      </c>
      <c r="H1094" s="44" t="str">
        <f>IFERROR(AVERAGE(Data!H1096), "  ")</f>
        <v xml:space="preserve">  </v>
      </c>
      <c r="I1094" s="44" t="str">
        <f>IFERROR(AVERAGE(Data!I1096), "  ")</f>
        <v xml:space="preserve">  </v>
      </c>
      <c r="J1094" s="42" t="str">
        <f>IFERROR(AVERAGE(Data!J1096), "  ")</f>
        <v xml:space="preserve">  </v>
      </c>
      <c r="K1094" s="44" t="str">
        <f>IFERROR(AVERAGE(Data!K1096), "  ")</f>
        <v xml:space="preserve">  </v>
      </c>
      <c r="L1094" s="45" t="str">
        <f>IFERROR(AVERAGE(Data!L1096), "  ")</f>
        <v xml:space="preserve">  </v>
      </c>
    </row>
    <row r="1095" spans="1:12" x14ac:dyDescent="0.2">
      <c r="A1095" s="43"/>
      <c r="B1095" s="42" t="str">
        <f>IFERROR(AVERAGE(Data!B1097), "  ")</f>
        <v xml:space="preserve">  </v>
      </c>
      <c r="C1095" s="42" t="str">
        <f>IFERROR(AVERAGE(Data!C1097), "  ")</f>
        <v xml:space="preserve">  </v>
      </c>
      <c r="D1095" s="42" t="str">
        <f>IFERROR(AVERAGE(Data!D1097), "  ")</f>
        <v xml:space="preserve">  </v>
      </c>
      <c r="E1095" s="42" t="str">
        <f>IFERROR(AVERAGE(Data!E1097), "  ")</f>
        <v xml:space="preserve">  </v>
      </c>
      <c r="F1095" s="42" t="str">
        <f>IFERROR(AVERAGE(Data!F1097), "  ")</f>
        <v xml:space="preserve">  </v>
      </c>
      <c r="G1095" s="42" t="str">
        <f>IFERROR(AVERAGE(Data!G1097), "  ")</f>
        <v xml:space="preserve">  </v>
      </c>
      <c r="H1095" s="44" t="str">
        <f>IFERROR(AVERAGE(Data!H1097), "  ")</f>
        <v xml:space="preserve">  </v>
      </c>
      <c r="I1095" s="44" t="str">
        <f>IFERROR(AVERAGE(Data!I1097), "  ")</f>
        <v xml:space="preserve">  </v>
      </c>
      <c r="J1095" s="42" t="str">
        <f>IFERROR(AVERAGE(Data!J1097), "  ")</f>
        <v xml:space="preserve">  </v>
      </c>
      <c r="K1095" s="44" t="str">
        <f>IFERROR(AVERAGE(Data!K1097), "  ")</f>
        <v xml:space="preserve">  </v>
      </c>
      <c r="L1095" s="45" t="str">
        <f>IFERROR(AVERAGE(Data!L1097), "  ")</f>
        <v xml:space="preserve">  </v>
      </c>
    </row>
    <row r="1096" spans="1:12" x14ac:dyDescent="0.2">
      <c r="A1096" s="43"/>
      <c r="B1096" s="42" t="str">
        <f>IFERROR(AVERAGE(Data!B1098), "  ")</f>
        <v xml:space="preserve">  </v>
      </c>
      <c r="C1096" s="42" t="str">
        <f>IFERROR(AVERAGE(Data!C1098), "  ")</f>
        <v xml:space="preserve">  </v>
      </c>
      <c r="D1096" s="42" t="str">
        <f>IFERROR(AVERAGE(Data!D1098), "  ")</f>
        <v xml:space="preserve">  </v>
      </c>
      <c r="E1096" s="42" t="str">
        <f>IFERROR(AVERAGE(Data!E1098), "  ")</f>
        <v xml:space="preserve">  </v>
      </c>
      <c r="F1096" s="42" t="str">
        <f>IFERROR(AVERAGE(Data!F1098), "  ")</f>
        <v xml:space="preserve">  </v>
      </c>
      <c r="G1096" s="42" t="str">
        <f>IFERROR(AVERAGE(Data!G1098), "  ")</f>
        <v xml:space="preserve">  </v>
      </c>
      <c r="H1096" s="44" t="str">
        <f>IFERROR(AVERAGE(Data!H1098), "  ")</f>
        <v xml:space="preserve">  </v>
      </c>
      <c r="I1096" s="44" t="str">
        <f>IFERROR(AVERAGE(Data!I1098), "  ")</f>
        <v xml:space="preserve">  </v>
      </c>
      <c r="J1096" s="42" t="str">
        <f>IFERROR(AVERAGE(Data!J1098), "  ")</f>
        <v xml:space="preserve">  </v>
      </c>
      <c r="K1096" s="44" t="str">
        <f>IFERROR(AVERAGE(Data!K1098), "  ")</f>
        <v xml:space="preserve">  </v>
      </c>
      <c r="L1096" s="45" t="str">
        <f>IFERROR(AVERAGE(Data!L1098), "  ")</f>
        <v xml:space="preserve">  </v>
      </c>
    </row>
    <row r="1097" spans="1:12" x14ac:dyDescent="0.2">
      <c r="A1097" s="43"/>
      <c r="B1097" s="42" t="str">
        <f>IFERROR(AVERAGE(Data!B1099), "  ")</f>
        <v xml:space="preserve">  </v>
      </c>
      <c r="C1097" s="42" t="str">
        <f>IFERROR(AVERAGE(Data!C1099), "  ")</f>
        <v xml:space="preserve">  </v>
      </c>
      <c r="D1097" s="42" t="str">
        <f>IFERROR(AVERAGE(Data!D1099), "  ")</f>
        <v xml:space="preserve">  </v>
      </c>
      <c r="E1097" s="42" t="str">
        <f>IFERROR(AVERAGE(Data!E1099), "  ")</f>
        <v xml:space="preserve">  </v>
      </c>
      <c r="F1097" s="42" t="str">
        <f>IFERROR(AVERAGE(Data!F1099), "  ")</f>
        <v xml:space="preserve">  </v>
      </c>
      <c r="G1097" s="42" t="str">
        <f>IFERROR(AVERAGE(Data!G1099), "  ")</f>
        <v xml:space="preserve">  </v>
      </c>
      <c r="H1097" s="44" t="str">
        <f>IFERROR(AVERAGE(Data!H1099), "  ")</f>
        <v xml:space="preserve">  </v>
      </c>
      <c r="I1097" s="44" t="str">
        <f>IFERROR(AVERAGE(Data!I1099), "  ")</f>
        <v xml:space="preserve">  </v>
      </c>
      <c r="J1097" s="42" t="str">
        <f>IFERROR(AVERAGE(Data!J1099), "  ")</f>
        <v xml:space="preserve">  </v>
      </c>
      <c r="K1097" s="44" t="str">
        <f>IFERROR(AVERAGE(Data!K1099), "  ")</f>
        <v xml:space="preserve">  </v>
      </c>
      <c r="L1097" s="45" t="str">
        <f>IFERROR(AVERAGE(Data!L1099), "  ")</f>
        <v xml:space="preserve">  </v>
      </c>
    </row>
    <row r="1098" spans="1:12" x14ac:dyDescent="0.2">
      <c r="A1098" s="43"/>
      <c r="B1098" s="42" t="str">
        <f>IFERROR(AVERAGE(Data!B1100), "  ")</f>
        <v xml:space="preserve">  </v>
      </c>
      <c r="C1098" s="42" t="str">
        <f>IFERROR(AVERAGE(Data!C1100), "  ")</f>
        <v xml:space="preserve">  </v>
      </c>
      <c r="D1098" s="42" t="str">
        <f>IFERROR(AVERAGE(Data!D1100), "  ")</f>
        <v xml:space="preserve">  </v>
      </c>
      <c r="E1098" s="42" t="str">
        <f>IFERROR(AVERAGE(Data!E1100), "  ")</f>
        <v xml:space="preserve">  </v>
      </c>
      <c r="F1098" s="42" t="str">
        <f>IFERROR(AVERAGE(Data!F1100), "  ")</f>
        <v xml:space="preserve">  </v>
      </c>
      <c r="G1098" s="42" t="str">
        <f>IFERROR(AVERAGE(Data!G1100), "  ")</f>
        <v xml:space="preserve">  </v>
      </c>
      <c r="H1098" s="44" t="str">
        <f>IFERROR(AVERAGE(Data!H1100), "  ")</f>
        <v xml:space="preserve">  </v>
      </c>
      <c r="I1098" s="44" t="str">
        <f>IFERROR(AVERAGE(Data!I1100), "  ")</f>
        <v xml:space="preserve">  </v>
      </c>
      <c r="J1098" s="42" t="str">
        <f>IFERROR(AVERAGE(Data!J1100), "  ")</f>
        <v xml:space="preserve">  </v>
      </c>
      <c r="K1098" s="44" t="str">
        <f>IFERROR(AVERAGE(Data!K1100), "  ")</f>
        <v xml:space="preserve">  </v>
      </c>
      <c r="L1098" s="45" t="str">
        <f>IFERROR(AVERAGE(Data!L1100), "  ")</f>
        <v xml:space="preserve">  </v>
      </c>
    </row>
    <row r="1099" spans="1:12" x14ac:dyDescent="0.2">
      <c r="A1099" s="43"/>
      <c r="B1099" s="42" t="str">
        <f>IFERROR(AVERAGE(Data!B1101), "  ")</f>
        <v xml:space="preserve">  </v>
      </c>
      <c r="C1099" s="42" t="str">
        <f>IFERROR(AVERAGE(Data!C1101), "  ")</f>
        <v xml:space="preserve">  </v>
      </c>
      <c r="D1099" s="42" t="str">
        <f>IFERROR(AVERAGE(Data!D1101), "  ")</f>
        <v xml:space="preserve">  </v>
      </c>
      <c r="E1099" s="42" t="str">
        <f>IFERROR(AVERAGE(Data!E1101), "  ")</f>
        <v xml:space="preserve">  </v>
      </c>
      <c r="F1099" s="42" t="str">
        <f>IFERROR(AVERAGE(Data!F1101), "  ")</f>
        <v xml:space="preserve">  </v>
      </c>
      <c r="G1099" s="42" t="str">
        <f>IFERROR(AVERAGE(Data!G1101), "  ")</f>
        <v xml:space="preserve">  </v>
      </c>
      <c r="H1099" s="44" t="str">
        <f>IFERROR(AVERAGE(Data!H1101), "  ")</f>
        <v xml:space="preserve">  </v>
      </c>
      <c r="I1099" s="44" t="str">
        <f>IFERROR(AVERAGE(Data!I1101), "  ")</f>
        <v xml:space="preserve">  </v>
      </c>
      <c r="J1099" s="42" t="str">
        <f>IFERROR(AVERAGE(Data!J1101), "  ")</f>
        <v xml:space="preserve">  </v>
      </c>
      <c r="K1099" s="44" t="str">
        <f>IFERROR(AVERAGE(Data!K1101), "  ")</f>
        <v xml:space="preserve">  </v>
      </c>
      <c r="L1099" s="45" t="str">
        <f>IFERROR(AVERAGE(Data!L1101), "  ")</f>
        <v xml:space="preserve">  </v>
      </c>
    </row>
    <row r="1100" spans="1:12" x14ac:dyDescent="0.2">
      <c r="A1100" s="43"/>
      <c r="B1100" s="42" t="str">
        <f>IFERROR(AVERAGE(Data!B1102), "  ")</f>
        <v xml:space="preserve">  </v>
      </c>
      <c r="C1100" s="42" t="str">
        <f>IFERROR(AVERAGE(Data!C1102), "  ")</f>
        <v xml:space="preserve">  </v>
      </c>
      <c r="D1100" s="42" t="str">
        <f>IFERROR(AVERAGE(Data!D1102), "  ")</f>
        <v xml:space="preserve">  </v>
      </c>
      <c r="E1100" s="42" t="str">
        <f>IFERROR(AVERAGE(Data!E1102), "  ")</f>
        <v xml:space="preserve">  </v>
      </c>
      <c r="F1100" s="42" t="str">
        <f>IFERROR(AVERAGE(Data!F1102), "  ")</f>
        <v xml:space="preserve">  </v>
      </c>
      <c r="G1100" s="42" t="str">
        <f>IFERROR(AVERAGE(Data!G1102), "  ")</f>
        <v xml:space="preserve">  </v>
      </c>
      <c r="H1100" s="44" t="str">
        <f>IFERROR(AVERAGE(Data!H1102), "  ")</f>
        <v xml:space="preserve">  </v>
      </c>
      <c r="I1100" s="44" t="str">
        <f>IFERROR(AVERAGE(Data!I1102), "  ")</f>
        <v xml:space="preserve">  </v>
      </c>
      <c r="J1100" s="42" t="str">
        <f>IFERROR(AVERAGE(Data!J1102), "  ")</f>
        <v xml:space="preserve">  </v>
      </c>
      <c r="K1100" s="44" t="str">
        <f>IFERROR(AVERAGE(Data!K1102), "  ")</f>
        <v xml:space="preserve">  </v>
      </c>
      <c r="L1100" s="45" t="str">
        <f>IFERROR(AVERAGE(Data!L1102), "  ")</f>
        <v xml:space="preserve">  </v>
      </c>
    </row>
    <row r="1101" spans="1:12" x14ac:dyDescent="0.2">
      <c r="A1101" s="43"/>
      <c r="B1101" s="42" t="str">
        <f>IFERROR(AVERAGE(Data!B1103), "  ")</f>
        <v xml:space="preserve">  </v>
      </c>
      <c r="C1101" s="42" t="str">
        <f>IFERROR(AVERAGE(Data!C1103), "  ")</f>
        <v xml:space="preserve">  </v>
      </c>
      <c r="D1101" s="42" t="str">
        <f>IFERROR(AVERAGE(Data!D1103), "  ")</f>
        <v xml:space="preserve">  </v>
      </c>
      <c r="E1101" s="42" t="str">
        <f>IFERROR(AVERAGE(Data!E1103), "  ")</f>
        <v xml:space="preserve">  </v>
      </c>
      <c r="F1101" s="42" t="str">
        <f>IFERROR(AVERAGE(Data!F1103), "  ")</f>
        <v xml:space="preserve">  </v>
      </c>
      <c r="G1101" s="42" t="str">
        <f>IFERROR(AVERAGE(Data!G1103), "  ")</f>
        <v xml:space="preserve">  </v>
      </c>
      <c r="H1101" s="44" t="str">
        <f>IFERROR(AVERAGE(Data!H1103), "  ")</f>
        <v xml:space="preserve">  </v>
      </c>
      <c r="I1101" s="44" t="str">
        <f>IFERROR(AVERAGE(Data!I1103), "  ")</f>
        <v xml:space="preserve">  </v>
      </c>
      <c r="J1101" s="42" t="str">
        <f>IFERROR(AVERAGE(Data!J1103), "  ")</f>
        <v xml:space="preserve">  </v>
      </c>
      <c r="K1101" s="44" t="str">
        <f>IFERROR(AVERAGE(Data!K1103), "  ")</f>
        <v xml:space="preserve">  </v>
      </c>
      <c r="L1101" s="45" t="str">
        <f>IFERROR(AVERAGE(Data!L1103), "  ")</f>
        <v xml:space="preserve">  </v>
      </c>
    </row>
    <row r="1102" spans="1:12" x14ac:dyDescent="0.2">
      <c r="A1102" s="43"/>
      <c r="B1102" s="42" t="str">
        <f>IFERROR(AVERAGE(Data!B1104), "  ")</f>
        <v xml:space="preserve">  </v>
      </c>
      <c r="C1102" s="42" t="str">
        <f>IFERROR(AVERAGE(Data!C1104), "  ")</f>
        <v xml:space="preserve">  </v>
      </c>
      <c r="D1102" s="42" t="str">
        <f>IFERROR(AVERAGE(Data!D1104), "  ")</f>
        <v xml:space="preserve">  </v>
      </c>
      <c r="E1102" s="42" t="str">
        <f>IFERROR(AVERAGE(Data!E1104), "  ")</f>
        <v xml:space="preserve">  </v>
      </c>
      <c r="F1102" s="42" t="str">
        <f>IFERROR(AVERAGE(Data!F1104), "  ")</f>
        <v xml:space="preserve">  </v>
      </c>
      <c r="G1102" s="42" t="str">
        <f>IFERROR(AVERAGE(Data!G1104), "  ")</f>
        <v xml:space="preserve">  </v>
      </c>
      <c r="H1102" s="44" t="str">
        <f>IFERROR(AVERAGE(Data!H1104), "  ")</f>
        <v xml:space="preserve">  </v>
      </c>
      <c r="I1102" s="44" t="str">
        <f>IFERROR(AVERAGE(Data!I1104), "  ")</f>
        <v xml:space="preserve">  </v>
      </c>
      <c r="J1102" s="42" t="str">
        <f>IFERROR(AVERAGE(Data!J1104), "  ")</f>
        <v xml:space="preserve">  </v>
      </c>
      <c r="K1102" s="44" t="str">
        <f>IFERROR(AVERAGE(Data!K1104), "  ")</f>
        <v xml:space="preserve">  </v>
      </c>
      <c r="L1102" s="45" t="str">
        <f>IFERROR(AVERAGE(Data!L1104), "  ")</f>
        <v xml:space="preserve">  </v>
      </c>
    </row>
    <row r="1103" spans="1:12" x14ac:dyDescent="0.2">
      <c r="A1103" s="43"/>
      <c r="B1103" s="42" t="str">
        <f>IFERROR(AVERAGE(Data!B1105), "  ")</f>
        <v xml:space="preserve">  </v>
      </c>
      <c r="C1103" s="42" t="str">
        <f>IFERROR(AVERAGE(Data!C1105), "  ")</f>
        <v xml:space="preserve">  </v>
      </c>
      <c r="D1103" s="42" t="str">
        <f>IFERROR(AVERAGE(Data!D1105), "  ")</f>
        <v xml:space="preserve">  </v>
      </c>
      <c r="E1103" s="42" t="str">
        <f>IFERROR(AVERAGE(Data!E1105), "  ")</f>
        <v xml:space="preserve">  </v>
      </c>
      <c r="F1103" s="42" t="str">
        <f>IFERROR(AVERAGE(Data!F1105), "  ")</f>
        <v xml:space="preserve">  </v>
      </c>
      <c r="G1103" s="42" t="str">
        <f>IFERROR(AVERAGE(Data!G1105), "  ")</f>
        <v xml:space="preserve">  </v>
      </c>
      <c r="H1103" s="44" t="str">
        <f>IFERROR(AVERAGE(Data!H1105), "  ")</f>
        <v xml:space="preserve">  </v>
      </c>
      <c r="I1103" s="44" t="str">
        <f>IFERROR(AVERAGE(Data!I1105), "  ")</f>
        <v xml:space="preserve">  </v>
      </c>
      <c r="J1103" s="42" t="str">
        <f>IFERROR(AVERAGE(Data!J1105), "  ")</f>
        <v xml:space="preserve">  </v>
      </c>
      <c r="K1103" s="44" t="str">
        <f>IFERROR(AVERAGE(Data!K1105), "  ")</f>
        <v xml:space="preserve">  </v>
      </c>
      <c r="L1103" s="45" t="str">
        <f>IFERROR(AVERAGE(Data!L1105), "  ")</f>
        <v xml:space="preserve">  </v>
      </c>
    </row>
    <row r="1104" spans="1:12" x14ac:dyDescent="0.2">
      <c r="A1104" s="43"/>
      <c r="B1104" s="42" t="str">
        <f>IFERROR(AVERAGE(Data!B1106), "  ")</f>
        <v xml:space="preserve">  </v>
      </c>
      <c r="C1104" s="42" t="str">
        <f>IFERROR(AVERAGE(Data!C1106), "  ")</f>
        <v xml:space="preserve">  </v>
      </c>
      <c r="D1104" s="42" t="str">
        <f>IFERROR(AVERAGE(Data!D1106), "  ")</f>
        <v xml:space="preserve">  </v>
      </c>
      <c r="E1104" s="42" t="str">
        <f>IFERROR(AVERAGE(Data!E1106), "  ")</f>
        <v xml:space="preserve">  </v>
      </c>
      <c r="F1104" s="42" t="str">
        <f>IFERROR(AVERAGE(Data!F1106), "  ")</f>
        <v xml:space="preserve">  </v>
      </c>
      <c r="G1104" s="42" t="str">
        <f>IFERROR(AVERAGE(Data!G1106), "  ")</f>
        <v xml:space="preserve">  </v>
      </c>
      <c r="H1104" s="44" t="str">
        <f>IFERROR(AVERAGE(Data!H1106), "  ")</f>
        <v xml:space="preserve">  </v>
      </c>
      <c r="I1104" s="44" t="str">
        <f>IFERROR(AVERAGE(Data!I1106), "  ")</f>
        <v xml:space="preserve">  </v>
      </c>
      <c r="J1104" s="42" t="str">
        <f>IFERROR(AVERAGE(Data!J1106), "  ")</f>
        <v xml:space="preserve">  </v>
      </c>
      <c r="K1104" s="44" t="str">
        <f>IFERROR(AVERAGE(Data!K1106), "  ")</f>
        <v xml:space="preserve">  </v>
      </c>
      <c r="L1104" s="45" t="str">
        <f>IFERROR(AVERAGE(Data!L1106), "  ")</f>
        <v xml:space="preserve">  </v>
      </c>
    </row>
    <row r="1105" spans="1:12" x14ac:dyDescent="0.2">
      <c r="A1105" s="43"/>
      <c r="B1105" s="42" t="str">
        <f>IFERROR(AVERAGE(Data!B1107), "  ")</f>
        <v xml:space="preserve">  </v>
      </c>
      <c r="C1105" s="42" t="str">
        <f>IFERROR(AVERAGE(Data!C1107), "  ")</f>
        <v xml:space="preserve">  </v>
      </c>
      <c r="D1105" s="42" t="str">
        <f>IFERROR(AVERAGE(Data!D1107), "  ")</f>
        <v xml:space="preserve">  </v>
      </c>
      <c r="E1105" s="42" t="str">
        <f>IFERROR(AVERAGE(Data!E1107), "  ")</f>
        <v xml:space="preserve">  </v>
      </c>
      <c r="F1105" s="42" t="str">
        <f>IFERROR(AVERAGE(Data!F1107), "  ")</f>
        <v xml:space="preserve">  </v>
      </c>
      <c r="G1105" s="42" t="str">
        <f>IFERROR(AVERAGE(Data!G1107), "  ")</f>
        <v xml:space="preserve">  </v>
      </c>
      <c r="H1105" s="44" t="str">
        <f>IFERROR(AVERAGE(Data!H1107), "  ")</f>
        <v xml:space="preserve">  </v>
      </c>
      <c r="I1105" s="44" t="str">
        <f>IFERROR(AVERAGE(Data!I1107), "  ")</f>
        <v xml:space="preserve">  </v>
      </c>
      <c r="J1105" s="42" t="str">
        <f>IFERROR(AVERAGE(Data!J1107), "  ")</f>
        <v xml:space="preserve">  </v>
      </c>
      <c r="K1105" s="44" t="str">
        <f>IFERROR(AVERAGE(Data!K1107), "  ")</f>
        <v xml:space="preserve">  </v>
      </c>
      <c r="L1105" s="45" t="str">
        <f>IFERROR(AVERAGE(Data!L1107), "  ")</f>
        <v xml:space="preserve">  </v>
      </c>
    </row>
    <row r="1106" spans="1:12" x14ac:dyDescent="0.2">
      <c r="A1106" s="43"/>
      <c r="B1106" s="42" t="str">
        <f>IFERROR(AVERAGE(Data!B1108), "  ")</f>
        <v xml:space="preserve">  </v>
      </c>
      <c r="C1106" s="42" t="str">
        <f>IFERROR(AVERAGE(Data!C1108), "  ")</f>
        <v xml:space="preserve">  </v>
      </c>
      <c r="D1106" s="42" t="str">
        <f>IFERROR(AVERAGE(Data!D1108), "  ")</f>
        <v xml:space="preserve">  </v>
      </c>
      <c r="E1106" s="42" t="str">
        <f>IFERROR(AVERAGE(Data!E1108), "  ")</f>
        <v xml:space="preserve">  </v>
      </c>
      <c r="F1106" s="42" t="str">
        <f>IFERROR(AVERAGE(Data!F1108), "  ")</f>
        <v xml:space="preserve">  </v>
      </c>
      <c r="G1106" s="42" t="str">
        <f>IFERROR(AVERAGE(Data!G1108), "  ")</f>
        <v xml:space="preserve">  </v>
      </c>
      <c r="H1106" s="44" t="str">
        <f>IFERROR(AVERAGE(Data!H1108), "  ")</f>
        <v xml:space="preserve">  </v>
      </c>
      <c r="I1106" s="44" t="str">
        <f>IFERROR(AVERAGE(Data!I1108), "  ")</f>
        <v xml:space="preserve">  </v>
      </c>
      <c r="J1106" s="42" t="str">
        <f>IFERROR(AVERAGE(Data!J1108), "  ")</f>
        <v xml:space="preserve">  </v>
      </c>
      <c r="K1106" s="44" t="str">
        <f>IFERROR(AVERAGE(Data!K1108), "  ")</f>
        <v xml:space="preserve">  </v>
      </c>
      <c r="L1106" s="45" t="str">
        <f>IFERROR(AVERAGE(Data!L1108), "  ")</f>
        <v xml:space="preserve">  </v>
      </c>
    </row>
    <row r="1107" spans="1:12" x14ac:dyDescent="0.2">
      <c r="A1107" s="43"/>
      <c r="B1107" s="42" t="str">
        <f>IFERROR(AVERAGE(Data!B1109), "  ")</f>
        <v xml:space="preserve">  </v>
      </c>
      <c r="C1107" s="42" t="str">
        <f>IFERROR(AVERAGE(Data!C1109), "  ")</f>
        <v xml:space="preserve">  </v>
      </c>
      <c r="D1107" s="42" t="str">
        <f>IFERROR(AVERAGE(Data!D1109), "  ")</f>
        <v xml:space="preserve">  </v>
      </c>
      <c r="E1107" s="42" t="str">
        <f>IFERROR(AVERAGE(Data!E1109), "  ")</f>
        <v xml:space="preserve">  </v>
      </c>
      <c r="F1107" s="42" t="str">
        <f>IFERROR(AVERAGE(Data!F1109), "  ")</f>
        <v xml:space="preserve">  </v>
      </c>
      <c r="G1107" s="42" t="str">
        <f>IFERROR(AVERAGE(Data!G1109), "  ")</f>
        <v xml:space="preserve">  </v>
      </c>
      <c r="H1107" s="44" t="str">
        <f>IFERROR(AVERAGE(Data!H1109), "  ")</f>
        <v xml:space="preserve">  </v>
      </c>
      <c r="I1107" s="44" t="str">
        <f>IFERROR(AVERAGE(Data!I1109), "  ")</f>
        <v xml:space="preserve">  </v>
      </c>
      <c r="J1107" s="42" t="str">
        <f>IFERROR(AVERAGE(Data!J1109), "  ")</f>
        <v xml:space="preserve">  </v>
      </c>
      <c r="K1107" s="44" t="str">
        <f>IFERROR(AVERAGE(Data!K1109), "  ")</f>
        <v xml:space="preserve">  </v>
      </c>
      <c r="L1107" s="45" t="str">
        <f>IFERROR(AVERAGE(Data!L1109), "  ")</f>
        <v xml:space="preserve">  </v>
      </c>
    </row>
    <row r="1108" spans="1:12" x14ac:dyDescent="0.2">
      <c r="A1108" s="43"/>
      <c r="B1108" s="42" t="str">
        <f>IFERROR(AVERAGE(Data!B1110), "  ")</f>
        <v xml:space="preserve">  </v>
      </c>
      <c r="C1108" s="42" t="str">
        <f>IFERROR(AVERAGE(Data!C1110), "  ")</f>
        <v xml:space="preserve">  </v>
      </c>
      <c r="D1108" s="42" t="str">
        <f>IFERROR(AVERAGE(Data!D1110), "  ")</f>
        <v xml:space="preserve">  </v>
      </c>
      <c r="E1108" s="42" t="str">
        <f>IFERROR(AVERAGE(Data!E1110), "  ")</f>
        <v xml:space="preserve">  </v>
      </c>
      <c r="F1108" s="42" t="str">
        <f>IFERROR(AVERAGE(Data!F1110), "  ")</f>
        <v xml:space="preserve">  </v>
      </c>
      <c r="G1108" s="42" t="str">
        <f>IFERROR(AVERAGE(Data!G1110), "  ")</f>
        <v xml:space="preserve">  </v>
      </c>
      <c r="H1108" s="44" t="str">
        <f>IFERROR(AVERAGE(Data!H1110), "  ")</f>
        <v xml:space="preserve">  </v>
      </c>
      <c r="I1108" s="44" t="str">
        <f>IFERROR(AVERAGE(Data!I1110), "  ")</f>
        <v xml:space="preserve">  </v>
      </c>
      <c r="J1108" s="42" t="str">
        <f>IFERROR(AVERAGE(Data!J1110), "  ")</f>
        <v xml:space="preserve">  </v>
      </c>
      <c r="K1108" s="44" t="str">
        <f>IFERROR(AVERAGE(Data!K1110), "  ")</f>
        <v xml:space="preserve">  </v>
      </c>
      <c r="L1108" s="45" t="str">
        <f>IFERROR(AVERAGE(Data!L1110), "  ")</f>
        <v xml:space="preserve">  </v>
      </c>
    </row>
    <row r="1109" spans="1:12" x14ac:dyDescent="0.2">
      <c r="A1109" s="43"/>
      <c r="B1109" s="42" t="str">
        <f>IFERROR(AVERAGE(Data!B1111), "  ")</f>
        <v xml:space="preserve">  </v>
      </c>
      <c r="C1109" s="42" t="str">
        <f>IFERROR(AVERAGE(Data!C1111), "  ")</f>
        <v xml:space="preserve">  </v>
      </c>
      <c r="D1109" s="42" t="str">
        <f>IFERROR(AVERAGE(Data!D1111), "  ")</f>
        <v xml:space="preserve">  </v>
      </c>
      <c r="E1109" s="42" t="str">
        <f>IFERROR(AVERAGE(Data!E1111), "  ")</f>
        <v xml:space="preserve">  </v>
      </c>
      <c r="F1109" s="42" t="str">
        <f>IFERROR(AVERAGE(Data!F1111), "  ")</f>
        <v xml:space="preserve">  </v>
      </c>
      <c r="G1109" s="42" t="str">
        <f>IFERROR(AVERAGE(Data!G1111), "  ")</f>
        <v xml:space="preserve">  </v>
      </c>
      <c r="H1109" s="44" t="str">
        <f>IFERROR(AVERAGE(Data!H1111), "  ")</f>
        <v xml:space="preserve">  </v>
      </c>
      <c r="I1109" s="44" t="str">
        <f>IFERROR(AVERAGE(Data!I1111), "  ")</f>
        <v xml:space="preserve">  </v>
      </c>
      <c r="J1109" s="42" t="str">
        <f>IFERROR(AVERAGE(Data!J1111), "  ")</f>
        <v xml:space="preserve">  </v>
      </c>
      <c r="K1109" s="44" t="str">
        <f>IFERROR(AVERAGE(Data!K1111), "  ")</f>
        <v xml:space="preserve">  </v>
      </c>
      <c r="L1109" s="45" t="str">
        <f>IFERROR(AVERAGE(Data!L1111), "  ")</f>
        <v xml:space="preserve">  </v>
      </c>
    </row>
    <row r="1110" spans="1:12" x14ac:dyDescent="0.2">
      <c r="A1110" s="43"/>
      <c r="B1110" s="42" t="str">
        <f>IFERROR(AVERAGE(Data!B1112), "  ")</f>
        <v xml:space="preserve">  </v>
      </c>
      <c r="C1110" s="42" t="str">
        <f>IFERROR(AVERAGE(Data!C1112), "  ")</f>
        <v xml:space="preserve">  </v>
      </c>
      <c r="D1110" s="42" t="str">
        <f>IFERROR(AVERAGE(Data!D1112), "  ")</f>
        <v xml:space="preserve">  </v>
      </c>
      <c r="E1110" s="42" t="str">
        <f>IFERROR(AVERAGE(Data!E1112), "  ")</f>
        <v xml:space="preserve">  </v>
      </c>
      <c r="F1110" s="42" t="str">
        <f>IFERROR(AVERAGE(Data!F1112), "  ")</f>
        <v xml:space="preserve">  </v>
      </c>
      <c r="G1110" s="42" t="str">
        <f>IFERROR(AVERAGE(Data!G1112), "  ")</f>
        <v xml:space="preserve">  </v>
      </c>
      <c r="H1110" s="44" t="str">
        <f>IFERROR(AVERAGE(Data!H1112), "  ")</f>
        <v xml:space="preserve">  </v>
      </c>
      <c r="I1110" s="44" t="str">
        <f>IFERROR(AVERAGE(Data!I1112), "  ")</f>
        <v xml:space="preserve">  </v>
      </c>
      <c r="J1110" s="42" t="str">
        <f>IFERROR(AVERAGE(Data!J1112), "  ")</f>
        <v xml:space="preserve">  </v>
      </c>
      <c r="K1110" s="44" t="str">
        <f>IFERROR(AVERAGE(Data!K1112), "  ")</f>
        <v xml:space="preserve">  </v>
      </c>
      <c r="L1110" s="45" t="str">
        <f>IFERROR(AVERAGE(Data!L1112), "  ")</f>
        <v xml:space="preserve">  </v>
      </c>
    </row>
    <row r="1111" spans="1:12" x14ac:dyDescent="0.2">
      <c r="A1111" s="43"/>
      <c r="B1111" s="42" t="str">
        <f>IFERROR(AVERAGE(Data!B1113), "  ")</f>
        <v xml:space="preserve">  </v>
      </c>
      <c r="C1111" s="42" t="str">
        <f>IFERROR(AVERAGE(Data!C1113), "  ")</f>
        <v xml:space="preserve">  </v>
      </c>
      <c r="D1111" s="42" t="str">
        <f>IFERROR(AVERAGE(Data!D1113), "  ")</f>
        <v xml:space="preserve">  </v>
      </c>
      <c r="E1111" s="42" t="str">
        <f>IFERROR(AVERAGE(Data!E1113), "  ")</f>
        <v xml:space="preserve">  </v>
      </c>
      <c r="F1111" s="42" t="str">
        <f>IFERROR(AVERAGE(Data!F1113), "  ")</f>
        <v xml:space="preserve">  </v>
      </c>
      <c r="G1111" s="42" t="str">
        <f>IFERROR(AVERAGE(Data!G1113), "  ")</f>
        <v xml:space="preserve">  </v>
      </c>
      <c r="H1111" s="44" t="str">
        <f>IFERROR(AVERAGE(Data!H1113), "  ")</f>
        <v xml:space="preserve">  </v>
      </c>
      <c r="I1111" s="44" t="str">
        <f>IFERROR(AVERAGE(Data!I1113), "  ")</f>
        <v xml:space="preserve">  </v>
      </c>
      <c r="J1111" s="42" t="str">
        <f>IFERROR(AVERAGE(Data!J1113), "  ")</f>
        <v xml:space="preserve">  </v>
      </c>
      <c r="K1111" s="44" t="str">
        <f>IFERROR(AVERAGE(Data!K1113), "  ")</f>
        <v xml:space="preserve">  </v>
      </c>
      <c r="L1111" s="45" t="str">
        <f>IFERROR(AVERAGE(Data!L1113), "  ")</f>
        <v xml:space="preserve">  </v>
      </c>
    </row>
    <row r="1112" spans="1:12" x14ac:dyDescent="0.2">
      <c r="A1112" s="43"/>
      <c r="B1112" s="42" t="str">
        <f>IFERROR(AVERAGE(Data!B1114), "  ")</f>
        <v xml:space="preserve">  </v>
      </c>
      <c r="C1112" s="42" t="str">
        <f>IFERROR(AVERAGE(Data!C1114), "  ")</f>
        <v xml:space="preserve">  </v>
      </c>
      <c r="D1112" s="42" t="str">
        <f>IFERROR(AVERAGE(Data!D1114), "  ")</f>
        <v xml:space="preserve">  </v>
      </c>
      <c r="E1112" s="42" t="str">
        <f>IFERROR(AVERAGE(Data!E1114), "  ")</f>
        <v xml:space="preserve">  </v>
      </c>
      <c r="F1112" s="42" t="str">
        <f>IFERROR(AVERAGE(Data!F1114), "  ")</f>
        <v xml:space="preserve">  </v>
      </c>
      <c r="G1112" s="42" t="str">
        <f>IFERROR(AVERAGE(Data!G1114), "  ")</f>
        <v xml:space="preserve">  </v>
      </c>
      <c r="H1112" s="44" t="str">
        <f>IFERROR(AVERAGE(Data!H1114), "  ")</f>
        <v xml:space="preserve">  </v>
      </c>
      <c r="I1112" s="44" t="str">
        <f>IFERROR(AVERAGE(Data!I1114), "  ")</f>
        <v xml:space="preserve">  </v>
      </c>
      <c r="J1112" s="42" t="str">
        <f>IFERROR(AVERAGE(Data!J1114), "  ")</f>
        <v xml:space="preserve">  </v>
      </c>
      <c r="K1112" s="44" t="str">
        <f>IFERROR(AVERAGE(Data!K1114), "  ")</f>
        <v xml:space="preserve">  </v>
      </c>
      <c r="L1112" s="45" t="str">
        <f>IFERROR(AVERAGE(Data!L1114), "  ")</f>
        <v xml:space="preserve">  </v>
      </c>
    </row>
    <row r="1113" spans="1:12" x14ac:dyDescent="0.2">
      <c r="A1113" s="43"/>
      <c r="B1113" s="42" t="str">
        <f>IFERROR(AVERAGE(Data!B1115), "  ")</f>
        <v xml:space="preserve">  </v>
      </c>
      <c r="C1113" s="42" t="str">
        <f>IFERROR(AVERAGE(Data!C1115), "  ")</f>
        <v xml:space="preserve">  </v>
      </c>
      <c r="D1113" s="42" t="str">
        <f>IFERROR(AVERAGE(Data!D1115), "  ")</f>
        <v xml:space="preserve">  </v>
      </c>
      <c r="E1113" s="42" t="str">
        <f>IFERROR(AVERAGE(Data!E1115), "  ")</f>
        <v xml:space="preserve">  </v>
      </c>
      <c r="F1113" s="42" t="str">
        <f>IFERROR(AVERAGE(Data!F1115), "  ")</f>
        <v xml:space="preserve">  </v>
      </c>
      <c r="G1113" s="42" t="str">
        <f>IFERROR(AVERAGE(Data!G1115), "  ")</f>
        <v xml:space="preserve">  </v>
      </c>
      <c r="H1113" s="44" t="str">
        <f>IFERROR(AVERAGE(Data!H1115), "  ")</f>
        <v xml:space="preserve">  </v>
      </c>
      <c r="I1113" s="44" t="str">
        <f>IFERROR(AVERAGE(Data!I1115), "  ")</f>
        <v xml:space="preserve">  </v>
      </c>
      <c r="J1113" s="42" t="str">
        <f>IFERROR(AVERAGE(Data!J1115), "  ")</f>
        <v xml:space="preserve">  </v>
      </c>
      <c r="K1113" s="44" t="str">
        <f>IFERROR(AVERAGE(Data!K1115), "  ")</f>
        <v xml:space="preserve">  </v>
      </c>
      <c r="L1113" s="45" t="str">
        <f>IFERROR(AVERAGE(Data!L1115), "  ")</f>
        <v xml:space="preserve">  </v>
      </c>
    </row>
    <row r="1114" spans="1:12" x14ac:dyDescent="0.2">
      <c r="A1114" s="43"/>
      <c r="B1114" s="42" t="str">
        <f>IFERROR(AVERAGE(Data!B1116), "  ")</f>
        <v xml:space="preserve">  </v>
      </c>
      <c r="C1114" s="42" t="str">
        <f>IFERROR(AVERAGE(Data!C1116), "  ")</f>
        <v xml:space="preserve">  </v>
      </c>
      <c r="D1114" s="42" t="str">
        <f>IFERROR(AVERAGE(Data!D1116), "  ")</f>
        <v xml:space="preserve">  </v>
      </c>
      <c r="E1114" s="42" t="str">
        <f>IFERROR(AVERAGE(Data!E1116), "  ")</f>
        <v xml:space="preserve">  </v>
      </c>
      <c r="F1114" s="42" t="str">
        <f>IFERROR(AVERAGE(Data!F1116), "  ")</f>
        <v xml:space="preserve">  </v>
      </c>
      <c r="G1114" s="42" t="str">
        <f>IFERROR(AVERAGE(Data!G1116), "  ")</f>
        <v xml:space="preserve">  </v>
      </c>
      <c r="H1114" s="44" t="str">
        <f>IFERROR(AVERAGE(Data!H1116), "  ")</f>
        <v xml:space="preserve">  </v>
      </c>
      <c r="I1114" s="44" t="str">
        <f>IFERROR(AVERAGE(Data!I1116), "  ")</f>
        <v xml:space="preserve">  </v>
      </c>
      <c r="J1114" s="42" t="str">
        <f>IFERROR(AVERAGE(Data!J1116), "  ")</f>
        <v xml:space="preserve">  </v>
      </c>
      <c r="K1114" s="44" t="str">
        <f>IFERROR(AVERAGE(Data!K1116), "  ")</f>
        <v xml:space="preserve">  </v>
      </c>
      <c r="L1114" s="45" t="str">
        <f>IFERROR(AVERAGE(Data!L1116), "  ")</f>
        <v xml:space="preserve">  </v>
      </c>
    </row>
    <row r="1115" spans="1:12" x14ac:dyDescent="0.2">
      <c r="A1115" s="43"/>
      <c r="B1115" s="42" t="str">
        <f>IFERROR(AVERAGE(Data!B1117), "  ")</f>
        <v xml:space="preserve">  </v>
      </c>
      <c r="C1115" s="42" t="str">
        <f>IFERROR(AVERAGE(Data!C1117), "  ")</f>
        <v xml:space="preserve">  </v>
      </c>
      <c r="D1115" s="42" t="str">
        <f>IFERROR(AVERAGE(Data!D1117), "  ")</f>
        <v xml:space="preserve">  </v>
      </c>
      <c r="E1115" s="42" t="str">
        <f>IFERROR(AVERAGE(Data!E1117), "  ")</f>
        <v xml:space="preserve">  </v>
      </c>
      <c r="F1115" s="42" t="str">
        <f>IFERROR(AVERAGE(Data!F1117), "  ")</f>
        <v xml:space="preserve">  </v>
      </c>
      <c r="G1115" s="42" t="str">
        <f>IFERROR(AVERAGE(Data!G1117), "  ")</f>
        <v xml:space="preserve">  </v>
      </c>
      <c r="H1115" s="44" t="str">
        <f>IFERROR(AVERAGE(Data!H1117), "  ")</f>
        <v xml:space="preserve">  </v>
      </c>
      <c r="I1115" s="44" t="str">
        <f>IFERROR(AVERAGE(Data!I1117), "  ")</f>
        <v xml:space="preserve">  </v>
      </c>
      <c r="J1115" s="42" t="str">
        <f>IFERROR(AVERAGE(Data!J1117), "  ")</f>
        <v xml:space="preserve">  </v>
      </c>
      <c r="K1115" s="44" t="str">
        <f>IFERROR(AVERAGE(Data!K1117), "  ")</f>
        <v xml:space="preserve">  </v>
      </c>
      <c r="L1115" s="45" t="str">
        <f>IFERROR(AVERAGE(Data!L1117), "  ")</f>
        <v xml:space="preserve">  </v>
      </c>
    </row>
    <row r="1116" spans="1:12" x14ac:dyDescent="0.2">
      <c r="A1116" s="43"/>
      <c r="B1116" s="42" t="str">
        <f>IFERROR(AVERAGE(Data!B1118), "  ")</f>
        <v xml:space="preserve">  </v>
      </c>
      <c r="C1116" s="42" t="str">
        <f>IFERROR(AVERAGE(Data!C1118), "  ")</f>
        <v xml:space="preserve">  </v>
      </c>
      <c r="D1116" s="42" t="str">
        <f>IFERROR(AVERAGE(Data!D1118), "  ")</f>
        <v xml:space="preserve">  </v>
      </c>
      <c r="E1116" s="42" t="str">
        <f>IFERROR(AVERAGE(Data!E1118), "  ")</f>
        <v xml:space="preserve">  </v>
      </c>
      <c r="F1116" s="42" t="str">
        <f>IFERROR(AVERAGE(Data!F1118), "  ")</f>
        <v xml:space="preserve">  </v>
      </c>
      <c r="G1116" s="42" t="str">
        <f>IFERROR(AVERAGE(Data!G1118), "  ")</f>
        <v xml:space="preserve">  </v>
      </c>
      <c r="H1116" s="44" t="str">
        <f>IFERROR(AVERAGE(Data!H1118), "  ")</f>
        <v xml:space="preserve">  </v>
      </c>
      <c r="I1116" s="44" t="str">
        <f>IFERROR(AVERAGE(Data!I1118), "  ")</f>
        <v xml:space="preserve">  </v>
      </c>
      <c r="J1116" s="42" t="str">
        <f>IFERROR(AVERAGE(Data!J1118), "  ")</f>
        <v xml:space="preserve">  </v>
      </c>
      <c r="K1116" s="44" t="str">
        <f>IFERROR(AVERAGE(Data!K1118), "  ")</f>
        <v xml:space="preserve">  </v>
      </c>
      <c r="L1116" s="45" t="str">
        <f>IFERROR(AVERAGE(Data!L1118), "  ")</f>
        <v xml:space="preserve">  </v>
      </c>
    </row>
    <row r="1117" spans="1:12" x14ac:dyDescent="0.2">
      <c r="A1117" s="43"/>
      <c r="B1117" s="42" t="str">
        <f>IFERROR(AVERAGE(Data!B1119), "  ")</f>
        <v xml:space="preserve">  </v>
      </c>
      <c r="C1117" s="42" t="str">
        <f>IFERROR(AVERAGE(Data!C1119), "  ")</f>
        <v xml:space="preserve">  </v>
      </c>
      <c r="D1117" s="42" t="str">
        <f>IFERROR(AVERAGE(Data!D1119), "  ")</f>
        <v xml:space="preserve">  </v>
      </c>
      <c r="E1117" s="42" t="str">
        <f>IFERROR(AVERAGE(Data!E1119), "  ")</f>
        <v xml:space="preserve">  </v>
      </c>
      <c r="F1117" s="42" t="str">
        <f>IFERROR(AVERAGE(Data!F1119), "  ")</f>
        <v xml:space="preserve">  </v>
      </c>
      <c r="G1117" s="42" t="str">
        <f>IFERROR(AVERAGE(Data!G1119), "  ")</f>
        <v xml:space="preserve">  </v>
      </c>
      <c r="H1117" s="44" t="str">
        <f>IFERROR(AVERAGE(Data!H1119), "  ")</f>
        <v xml:space="preserve">  </v>
      </c>
      <c r="I1117" s="44" t="str">
        <f>IFERROR(AVERAGE(Data!I1119), "  ")</f>
        <v xml:space="preserve">  </v>
      </c>
      <c r="J1117" s="42" t="str">
        <f>IFERROR(AVERAGE(Data!J1119), "  ")</f>
        <v xml:space="preserve">  </v>
      </c>
      <c r="K1117" s="44" t="str">
        <f>IFERROR(AVERAGE(Data!K1119), "  ")</f>
        <v xml:space="preserve">  </v>
      </c>
      <c r="L1117" s="45" t="str">
        <f>IFERROR(AVERAGE(Data!L1119), "  ")</f>
        <v xml:space="preserve">  </v>
      </c>
    </row>
    <row r="1118" spans="1:12" x14ac:dyDescent="0.2">
      <c r="A1118" s="43"/>
      <c r="B1118" s="42" t="str">
        <f>IFERROR(AVERAGE(Data!B1120), "  ")</f>
        <v xml:space="preserve">  </v>
      </c>
      <c r="C1118" s="42" t="str">
        <f>IFERROR(AVERAGE(Data!C1120), "  ")</f>
        <v xml:space="preserve">  </v>
      </c>
      <c r="D1118" s="42" t="str">
        <f>IFERROR(AVERAGE(Data!D1120), "  ")</f>
        <v xml:space="preserve">  </v>
      </c>
      <c r="E1118" s="42" t="str">
        <f>IFERROR(AVERAGE(Data!E1120), "  ")</f>
        <v xml:space="preserve">  </v>
      </c>
      <c r="F1118" s="42" t="str">
        <f>IFERROR(AVERAGE(Data!F1120), "  ")</f>
        <v xml:space="preserve">  </v>
      </c>
      <c r="G1118" s="42" t="str">
        <f>IFERROR(AVERAGE(Data!G1120), "  ")</f>
        <v xml:space="preserve">  </v>
      </c>
      <c r="H1118" s="44" t="str">
        <f>IFERROR(AVERAGE(Data!H1120), "  ")</f>
        <v xml:space="preserve">  </v>
      </c>
      <c r="I1118" s="44" t="str">
        <f>IFERROR(AVERAGE(Data!I1120), "  ")</f>
        <v xml:space="preserve">  </v>
      </c>
      <c r="J1118" s="42" t="str">
        <f>IFERROR(AVERAGE(Data!J1120), "  ")</f>
        <v xml:space="preserve">  </v>
      </c>
      <c r="K1118" s="44" t="str">
        <f>IFERROR(AVERAGE(Data!K1120), "  ")</f>
        <v xml:space="preserve">  </v>
      </c>
      <c r="L1118" s="45" t="str">
        <f>IFERROR(AVERAGE(Data!L1120), "  ")</f>
        <v xml:space="preserve">  </v>
      </c>
    </row>
    <row r="1119" spans="1:12" x14ac:dyDescent="0.2">
      <c r="A1119" s="43"/>
      <c r="B1119" s="42" t="str">
        <f>IFERROR(AVERAGE(Data!B1121), "  ")</f>
        <v xml:space="preserve">  </v>
      </c>
      <c r="C1119" s="42" t="str">
        <f>IFERROR(AVERAGE(Data!C1121), "  ")</f>
        <v xml:space="preserve">  </v>
      </c>
      <c r="D1119" s="42" t="str">
        <f>IFERROR(AVERAGE(Data!D1121), "  ")</f>
        <v xml:space="preserve">  </v>
      </c>
      <c r="E1119" s="42" t="str">
        <f>IFERROR(AVERAGE(Data!E1121), "  ")</f>
        <v xml:space="preserve">  </v>
      </c>
      <c r="F1119" s="42" t="str">
        <f>IFERROR(AVERAGE(Data!F1121), "  ")</f>
        <v xml:space="preserve">  </v>
      </c>
      <c r="G1119" s="42" t="str">
        <f>IFERROR(AVERAGE(Data!G1121), "  ")</f>
        <v xml:space="preserve">  </v>
      </c>
      <c r="H1119" s="44" t="str">
        <f>IFERROR(AVERAGE(Data!H1121), "  ")</f>
        <v xml:space="preserve">  </v>
      </c>
      <c r="I1119" s="44" t="str">
        <f>IFERROR(AVERAGE(Data!I1121), "  ")</f>
        <v xml:space="preserve">  </v>
      </c>
      <c r="J1119" s="42" t="str">
        <f>IFERROR(AVERAGE(Data!J1121), "  ")</f>
        <v xml:space="preserve">  </v>
      </c>
      <c r="K1119" s="44" t="str">
        <f>IFERROR(AVERAGE(Data!K1121), "  ")</f>
        <v xml:space="preserve">  </v>
      </c>
      <c r="L1119" s="45" t="str">
        <f>IFERROR(AVERAGE(Data!L1121), "  ")</f>
        <v xml:space="preserve">  </v>
      </c>
    </row>
    <row r="1120" spans="1:12" x14ac:dyDescent="0.2">
      <c r="A1120" s="43"/>
      <c r="B1120" s="42" t="str">
        <f>IFERROR(AVERAGE(Data!B1122), "  ")</f>
        <v xml:space="preserve">  </v>
      </c>
      <c r="C1120" s="42" t="str">
        <f>IFERROR(AVERAGE(Data!C1122), "  ")</f>
        <v xml:space="preserve">  </v>
      </c>
      <c r="D1120" s="42" t="str">
        <f>IFERROR(AVERAGE(Data!D1122), "  ")</f>
        <v xml:space="preserve">  </v>
      </c>
      <c r="E1120" s="42" t="str">
        <f>IFERROR(AVERAGE(Data!E1122), "  ")</f>
        <v xml:space="preserve">  </v>
      </c>
      <c r="F1120" s="42" t="str">
        <f>IFERROR(AVERAGE(Data!F1122), "  ")</f>
        <v xml:space="preserve">  </v>
      </c>
      <c r="G1120" s="42" t="str">
        <f>IFERROR(AVERAGE(Data!G1122), "  ")</f>
        <v xml:space="preserve">  </v>
      </c>
      <c r="H1120" s="44" t="str">
        <f>IFERROR(AVERAGE(Data!H1122), "  ")</f>
        <v xml:space="preserve">  </v>
      </c>
      <c r="I1120" s="44" t="str">
        <f>IFERROR(AVERAGE(Data!I1122), "  ")</f>
        <v xml:space="preserve">  </v>
      </c>
      <c r="J1120" s="42" t="str">
        <f>IFERROR(AVERAGE(Data!J1122), "  ")</f>
        <v xml:space="preserve">  </v>
      </c>
      <c r="K1120" s="44" t="str">
        <f>IFERROR(AVERAGE(Data!K1122), "  ")</f>
        <v xml:space="preserve">  </v>
      </c>
      <c r="L1120" s="45" t="str">
        <f>IFERROR(AVERAGE(Data!L1122), "  ")</f>
        <v xml:space="preserve">  </v>
      </c>
    </row>
    <row r="1121" spans="1:12" x14ac:dyDescent="0.2">
      <c r="A1121" s="43"/>
      <c r="B1121" s="42" t="str">
        <f>IFERROR(AVERAGE(Data!B1123), "  ")</f>
        <v xml:space="preserve">  </v>
      </c>
      <c r="C1121" s="42" t="str">
        <f>IFERROR(AVERAGE(Data!C1123), "  ")</f>
        <v xml:space="preserve">  </v>
      </c>
      <c r="D1121" s="42" t="str">
        <f>IFERROR(AVERAGE(Data!D1123), "  ")</f>
        <v xml:space="preserve">  </v>
      </c>
      <c r="E1121" s="42" t="str">
        <f>IFERROR(AVERAGE(Data!E1123), "  ")</f>
        <v xml:space="preserve">  </v>
      </c>
      <c r="F1121" s="42" t="str">
        <f>IFERROR(AVERAGE(Data!F1123), "  ")</f>
        <v xml:space="preserve">  </v>
      </c>
      <c r="G1121" s="42" t="str">
        <f>IFERROR(AVERAGE(Data!G1123), "  ")</f>
        <v xml:space="preserve">  </v>
      </c>
      <c r="H1121" s="44" t="str">
        <f>IFERROR(AVERAGE(Data!H1123), "  ")</f>
        <v xml:space="preserve">  </v>
      </c>
      <c r="I1121" s="44" t="str">
        <f>IFERROR(AVERAGE(Data!I1123), "  ")</f>
        <v xml:space="preserve">  </v>
      </c>
      <c r="J1121" s="42" t="str">
        <f>IFERROR(AVERAGE(Data!J1123), "  ")</f>
        <v xml:space="preserve">  </v>
      </c>
      <c r="K1121" s="44" t="str">
        <f>IFERROR(AVERAGE(Data!K1123), "  ")</f>
        <v xml:space="preserve">  </v>
      </c>
      <c r="L1121" s="45" t="str">
        <f>IFERROR(AVERAGE(Data!L1123), "  ")</f>
        <v xml:space="preserve">  </v>
      </c>
    </row>
    <row r="1122" spans="1:12" x14ac:dyDescent="0.2">
      <c r="A1122" s="43"/>
      <c r="B1122" s="42" t="str">
        <f>IFERROR(AVERAGE(Data!B1124), "  ")</f>
        <v xml:space="preserve">  </v>
      </c>
      <c r="C1122" s="42" t="str">
        <f>IFERROR(AVERAGE(Data!C1124), "  ")</f>
        <v xml:space="preserve">  </v>
      </c>
      <c r="D1122" s="42" t="str">
        <f>IFERROR(AVERAGE(Data!D1124), "  ")</f>
        <v xml:space="preserve">  </v>
      </c>
      <c r="E1122" s="42" t="str">
        <f>IFERROR(AVERAGE(Data!E1124), "  ")</f>
        <v xml:space="preserve">  </v>
      </c>
      <c r="F1122" s="42" t="str">
        <f>IFERROR(AVERAGE(Data!F1124), "  ")</f>
        <v xml:space="preserve">  </v>
      </c>
      <c r="G1122" s="42" t="str">
        <f>IFERROR(AVERAGE(Data!G1124), "  ")</f>
        <v xml:space="preserve">  </v>
      </c>
      <c r="H1122" s="44" t="str">
        <f>IFERROR(AVERAGE(Data!H1124), "  ")</f>
        <v xml:space="preserve">  </v>
      </c>
      <c r="I1122" s="44" t="str">
        <f>IFERROR(AVERAGE(Data!I1124), "  ")</f>
        <v xml:space="preserve">  </v>
      </c>
      <c r="J1122" s="42" t="str">
        <f>IFERROR(AVERAGE(Data!J1124), "  ")</f>
        <v xml:space="preserve">  </v>
      </c>
      <c r="K1122" s="44" t="str">
        <f>IFERROR(AVERAGE(Data!K1124), "  ")</f>
        <v xml:space="preserve">  </v>
      </c>
      <c r="L1122" s="45" t="str">
        <f>IFERROR(AVERAGE(Data!L1124), "  ")</f>
        <v xml:space="preserve">  </v>
      </c>
    </row>
    <row r="1123" spans="1:12" x14ac:dyDescent="0.2">
      <c r="A1123" s="43"/>
      <c r="B1123" s="42" t="str">
        <f>IFERROR(AVERAGE(Data!B1125), "  ")</f>
        <v xml:space="preserve">  </v>
      </c>
      <c r="C1123" s="42" t="str">
        <f>IFERROR(AVERAGE(Data!C1125), "  ")</f>
        <v xml:space="preserve">  </v>
      </c>
      <c r="D1123" s="42" t="str">
        <f>IFERROR(AVERAGE(Data!D1125), "  ")</f>
        <v xml:space="preserve">  </v>
      </c>
      <c r="E1123" s="42" t="str">
        <f>IFERROR(AVERAGE(Data!E1125), "  ")</f>
        <v xml:space="preserve">  </v>
      </c>
      <c r="F1123" s="42" t="str">
        <f>IFERROR(AVERAGE(Data!F1125), "  ")</f>
        <v xml:space="preserve">  </v>
      </c>
      <c r="G1123" s="42" t="str">
        <f>IFERROR(AVERAGE(Data!G1125), "  ")</f>
        <v xml:space="preserve">  </v>
      </c>
      <c r="H1123" s="44" t="str">
        <f>IFERROR(AVERAGE(Data!H1125), "  ")</f>
        <v xml:space="preserve">  </v>
      </c>
      <c r="I1123" s="44" t="str">
        <f>IFERROR(AVERAGE(Data!I1125), "  ")</f>
        <v xml:space="preserve">  </v>
      </c>
      <c r="J1123" s="42" t="str">
        <f>IFERROR(AVERAGE(Data!J1125), "  ")</f>
        <v xml:space="preserve">  </v>
      </c>
      <c r="K1123" s="44" t="str">
        <f>IFERROR(AVERAGE(Data!K1125), "  ")</f>
        <v xml:space="preserve">  </v>
      </c>
      <c r="L1123" s="45" t="str">
        <f>IFERROR(AVERAGE(Data!L1125), "  ")</f>
        <v xml:space="preserve">  </v>
      </c>
    </row>
    <row r="1124" spans="1:12" x14ac:dyDescent="0.2">
      <c r="A1124" s="43"/>
      <c r="B1124" s="42" t="str">
        <f>IFERROR(AVERAGE(Data!B1126), "  ")</f>
        <v xml:space="preserve">  </v>
      </c>
      <c r="C1124" s="42" t="str">
        <f>IFERROR(AVERAGE(Data!C1126), "  ")</f>
        <v xml:space="preserve">  </v>
      </c>
      <c r="D1124" s="42" t="str">
        <f>IFERROR(AVERAGE(Data!D1126), "  ")</f>
        <v xml:space="preserve">  </v>
      </c>
      <c r="E1124" s="42" t="str">
        <f>IFERROR(AVERAGE(Data!E1126), "  ")</f>
        <v xml:space="preserve">  </v>
      </c>
      <c r="F1124" s="42" t="str">
        <f>IFERROR(AVERAGE(Data!F1126), "  ")</f>
        <v xml:space="preserve">  </v>
      </c>
      <c r="G1124" s="42" t="str">
        <f>IFERROR(AVERAGE(Data!G1126), "  ")</f>
        <v xml:space="preserve">  </v>
      </c>
      <c r="H1124" s="44" t="str">
        <f>IFERROR(AVERAGE(Data!H1126), "  ")</f>
        <v xml:space="preserve">  </v>
      </c>
      <c r="I1124" s="44" t="str">
        <f>IFERROR(AVERAGE(Data!I1126), "  ")</f>
        <v xml:space="preserve">  </v>
      </c>
      <c r="J1124" s="42" t="str">
        <f>IFERROR(AVERAGE(Data!J1126), "  ")</f>
        <v xml:space="preserve">  </v>
      </c>
      <c r="K1124" s="44" t="str">
        <f>IFERROR(AVERAGE(Data!K1126), "  ")</f>
        <v xml:space="preserve">  </v>
      </c>
      <c r="L1124" s="45" t="str">
        <f>IFERROR(AVERAGE(Data!L1126), "  ")</f>
        <v xml:space="preserve">  </v>
      </c>
    </row>
    <row r="1125" spans="1:12" x14ac:dyDescent="0.2">
      <c r="A1125" s="43"/>
      <c r="B1125" s="42" t="str">
        <f>IFERROR(AVERAGE(Data!B1127), "  ")</f>
        <v xml:space="preserve">  </v>
      </c>
      <c r="C1125" s="42" t="str">
        <f>IFERROR(AVERAGE(Data!C1127), "  ")</f>
        <v xml:space="preserve">  </v>
      </c>
      <c r="D1125" s="42" t="str">
        <f>IFERROR(AVERAGE(Data!D1127), "  ")</f>
        <v xml:space="preserve">  </v>
      </c>
      <c r="E1125" s="42" t="str">
        <f>IFERROR(AVERAGE(Data!E1127), "  ")</f>
        <v xml:space="preserve">  </v>
      </c>
      <c r="F1125" s="42" t="str">
        <f>IFERROR(AVERAGE(Data!F1127), "  ")</f>
        <v xml:space="preserve">  </v>
      </c>
      <c r="G1125" s="42" t="str">
        <f>IFERROR(AVERAGE(Data!G1127), "  ")</f>
        <v xml:space="preserve">  </v>
      </c>
      <c r="H1125" s="44" t="str">
        <f>IFERROR(AVERAGE(Data!H1127), "  ")</f>
        <v xml:space="preserve">  </v>
      </c>
      <c r="I1125" s="44" t="str">
        <f>IFERROR(AVERAGE(Data!I1127), "  ")</f>
        <v xml:space="preserve">  </v>
      </c>
      <c r="J1125" s="42" t="str">
        <f>IFERROR(AVERAGE(Data!J1127), "  ")</f>
        <v xml:space="preserve">  </v>
      </c>
      <c r="K1125" s="44" t="str">
        <f>IFERROR(AVERAGE(Data!K1127), "  ")</f>
        <v xml:space="preserve">  </v>
      </c>
      <c r="L1125" s="45" t="str">
        <f>IFERROR(AVERAGE(Data!L1127), "  ")</f>
        <v xml:space="preserve">  </v>
      </c>
    </row>
    <row r="1126" spans="1:12" x14ac:dyDescent="0.2">
      <c r="A1126" s="43"/>
      <c r="B1126" s="42" t="str">
        <f>IFERROR(AVERAGE(Data!B1128), "  ")</f>
        <v xml:space="preserve">  </v>
      </c>
      <c r="C1126" s="42" t="str">
        <f>IFERROR(AVERAGE(Data!C1128), "  ")</f>
        <v xml:space="preserve">  </v>
      </c>
      <c r="D1126" s="42" t="str">
        <f>IFERROR(AVERAGE(Data!D1128), "  ")</f>
        <v xml:space="preserve">  </v>
      </c>
      <c r="E1126" s="42" t="str">
        <f>IFERROR(AVERAGE(Data!E1128), "  ")</f>
        <v xml:space="preserve">  </v>
      </c>
      <c r="F1126" s="42" t="str">
        <f>IFERROR(AVERAGE(Data!F1128), "  ")</f>
        <v xml:space="preserve">  </v>
      </c>
      <c r="G1126" s="42" t="str">
        <f>IFERROR(AVERAGE(Data!G1128), "  ")</f>
        <v xml:space="preserve">  </v>
      </c>
      <c r="H1126" s="44" t="str">
        <f>IFERROR(AVERAGE(Data!H1128), "  ")</f>
        <v xml:space="preserve">  </v>
      </c>
      <c r="I1126" s="44" t="str">
        <f>IFERROR(AVERAGE(Data!I1128), "  ")</f>
        <v xml:space="preserve">  </v>
      </c>
      <c r="J1126" s="42" t="str">
        <f>IFERROR(AVERAGE(Data!J1128), "  ")</f>
        <v xml:space="preserve">  </v>
      </c>
      <c r="K1126" s="44" t="str">
        <f>IFERROR(AVERAGE(Data!K1128), "  ")</f>
        <v xml:space="preserve">  </v>
      </c>
      <c r="L1126" s="45" t="str">
        <f>IFERROR(AVERAGE(Data!L1128), "  ")</f>
        <v xml:space="preserve">  </v>
      </c>
    </row>
    <row r="1127" spans="1:12" x14ac:dyDescent="0.2">
      <c r="A1127" s="43"/>
      <c r="B1127" s="42" t="str">
        <f>IFERROR(AVERAGE(Data!B1129), "  ")</f>
        <v xml:space="preserve">  </v>
      </c>
      <c r="C1127" s="42" t="str">
        <f>IFERROR(AVERAGE(Data!C1129), "  ")</f>
        <v xml:space="preserve">  </v>
      </c>
      <c r="D1127" s="42" t="str">
        <f>IFERROR(AVERAGE(Data!D1129), "  ")</f>
        <v xml:space="preserve">  </v>
      </c>
      <c r="E1127" s="42" t="str">
        <f>IFERROR(AVERAGE(Data!E1129), "  ")</f>
        <v xml:space="preserve">  </v>
      </c>
      <c r="F1127" s="42" t="str">
        <f>IFERROR(AVERAGE(Data!F1129), "  ")</f>
        <v xml:space="preserve">  </v>
      </c>
      <c r="G1127" s="42" t="str">
        <f>IFERROR(AVERAGE(Data!G1129), "  ")</f>
        <v xml:space="preserve">  </v>
      </c>
      <c r="H1127" s="44" t="str">
        <f>IFERROR(AVERAGE(Data!H1129), "  ")</f>
        <v xml:space="preserve">  </v>
      </c>
      <c r="I1127" s="44" t="str">
        <f>IFERROR(AVERAGE(Data!I1129), "  ")</f>
        <v xml:space="preserve">  </v>
      </c>
      <c r="J1127" s="42" t="str">
        <f>IFERROR(AVERAGE(Data!J1129), "  ")</f>
        <v xml:space="preserve">  </v>
      </c>
      <c r="K1127" s="44" t="str">
        <f>IFERROR(AVERAGE(Data!K1129), "  ")</f>
        <v xml:space="preserve">  </v>
      </c>
      <c r="L1127" s="45" t="str">
        <f>IFERROR(AVERAGE(Data!L1129), "  ")</f>
        <v xml:space="preserve">  </v>
      </c>
    </row>
    <row r="1128" spans="1:12" x14ac:dyDescent="0.2">
      <c r="A1128" s="43"/>
      <c r="B1128" s="42" t="str">
        <f>IFERROR(AVERAGE(Data!B1130), "  ")</f>
        <v xml:space="preserve">  </v>
      </c>
      <c r="C1128" s="42" t="str">
        <f>IFERROR(AVERAGE(Data!C1130), "  ")</f>
        <v xml:space="preserve">  </v>
      </c>
      <c r="D1128" s="42" t="str">
        <f>IFERROR(AVERAGE(Data!D1130), "  ")</f>
        <v xml:space="preserve">  </v>
      </c>
      <c r="E1128" s="42" t="str">
        <f>IFERROR(AVERAGE(Data!E1130), "  ")</f>
        <v xml:space="preserve">  </v>
      </c>
      <c r="F1128" s="42" t="str">
        <f>IFERROR(AVERAGE(Data!F1130), "  ")</f>
        <v xml:space="preserve">  </v>
      </c>
      <c r="G1128" s="42" t="str">
        <f>IFERROR(AVERAGE(Data!G1130), "  ")</f>
        <v xml:space="preserve">  </v>
      </c>
      <c r="H1128" s="44" t="str">
        <f>IFERROR(AVERAGE(Data!H1130), "  ")</f>
        <v xml:space="preserve">  </v>
      </c>
      <c r="I1128" s="44" t="str">
        <f>IFERROR(AVERAGE(Data!I1130), "  ")</f>
        <v xml:space="preserve">  </v>
      </c>
      <c r="J1128" s="42" t="str">
        <f>IFERROR(AVERAGE(Data!J1130), "  ")</f>
        <v xml:space="preserve">  </v>
      </c>
      <c r="K1128" s="44" t="str">
        <f>IFERROR(AVERAGE(Data!K1130), "  ")</f>
        <v xml:space="preserve">  </v>
      </c>
      <c r="L1128" s="45" t="str">
        <f>IFERROR(AVERAGE(Data!L1130), "  ")</f>
        <v xml:space="preserve">  </v>
      </c>
    </row>
    <row r="1129" spans="1:12" x14ac:dyDescent="0.2">
      <c r="A1129" s="43"/>
      <c r="B1129" s="42" t="str">
        <f>IFERROR(AVERAGE(Data!B1131), "  ")</f>
        <v xml:space="preserve">  </v>
      </c>
      <c r="C1129" s="42" t="str">
        <f>IFERROR(AVERAGE(Data!C1131), "  ")</f>
        <v xml:space="preserve">  </v>
      </c>
      <c r="D1129" s="42" t="str">
        <f>IFERROR(AVERAGE(Data!D1131), "  ")</f>
        <v xml:space="preserve">  </v>
      </c>
      <c r="E1129" s="42" t="str">
        <f>IFERROR(AVERAGE(Data!E1131), "  ")</f>
        <v xml:space="preserve">  </v>
      </c>
      <c r="F1129" s="42" t="str">
        <f>IFERROR(AVERAGE(Data!F1131), "  ")</f>
        <v xml:space="preserve">  </v>
      </c>
      <c r="G1129" s="42" t="str">
        <f>IFERROR(AVERAGE(Data!G1131), "  ")</f>
        <v xml:space="preserve">  </v>
      </c>
      <c r="H1129" s="44" t="str">
        <f>IFERROR(AVERAGE(Data!H1131), "  ")</f>
        <v xml:space="preserve">  </v>
      </c>
      <c r="I1129" s="44" t="str">
        <f>IFERROR(AVERAGE(Data!I1131), "  ")</f>
        <v xml:space="preserve">  </v>
      </c>
      <c r="J1129" s="42" t="str">
        <f>IFERROR(AVERAGE(Data!J1131), "  ")</f>
        <v xml:space="preserve">  </v>
      </c>
      <c r="K1129" s="44" t="str">
        <f>IFERROR(AVERAGE(Data!K1131), "  ")</f>
        <v xml:space="preserve">  </v>
      </c>
      <c r="L1129" s="45" t="str">
        <f>IFERROR(AVERAGE(Data!L1131), "  ")</f>
        <v xml:space="preserve">  </v>
      </c>
    </row>
    <row r="1130" spans="1:12" x14ac:dyDescent="0.2">
      <c r="A1130" s="43"/>
      <c r="B1130" s="42" t="str">
        <f>IFERROR(AVERAGE(Data!B1132), "  ")</f>
        <v xml:space="preserve">  </v>
      </c>
      <c r="C1130" s="42" t="str">
        <f>IFERROR(AVERAGE(Data!C1132), "  ")</f>
        <v xml:space="preserve">  </v>
      </c>
      <c r="D1130" s="42" t="str">
        <f>IFERROR(AVERAGE(Data!D1132), "  ")</f>
        <v xml:space="preserve">  </v>
      </c>
      <c r="E1130" s="42" t="str">
        <f>IFERROR(AVERAGE(Data!E1132), "  ")</f>
        <v xml:space="preserve">  </v>
      </c>
      <c r="F1130" s="42" t="str">
        <f>IFERROR(AVERAGE(Data!F1132), "  ")</f>
        <v xml:space="preserve">  </v>
      </c>
      <c r="G1130" s="42" t="str">
        <f>IFERROR(AVERAGE(Data!G1132), "  ")</f>
        <v xml:space="preserve">  </v>
      </c>
      <c r="H1130" s="44" t="str">
        <f>IFERROR(AVERAGE(Data!H1132), "  ")</f>
        <v xml:space="preserve">  </v>
      </c>
      <c r="I1130" s="44" t="str">
        <f>IFERROR(AVERAGE(Data!I1132), "  ")</f>
        <v xml:space="preserve">  </v>
      </c>
      <c r="J1130" s="42" t="str">
        <f>IFERROR(AVERAGE(Data!J1132), "  ")</f>
        <v xml:space="preserve">  </v>
      </c>
      <c r="K1130" s="44" t="str">
        <f>IFERROR(AVERAGE(Data!K1132), "  ")</f>
        <v xml:space="preserve">  </v>
      </c>
      <c r="L1130" s="45" t="str">
        <f>IFERROR(AVERAGE(Data!L1132), "  ")</f>
        <v xml:space="preserve">  </v>
      </c>
    </row>
    <row r="1131" spans="1:12" x14ac:dyDescent="0.2">
      <c r="A1131" s="43"/>
      <c r="B1131" s="42" t="str">
        <f>IFERROR(AVERAGE(Data!B1133), "  ")</f>
        <v xml:space="preserve">  </v>
      </c>
      <c r="C1131" s="42" t="str">
        <f>IFERROR(AVERAGE(Data!C1133), "  ")</f>
        <v xml:space="preserve">  </v>
      </c>
      <c r="D1131" s="42" t="str">
        <f>IFERROR(AVERAGE(Data!D1133), "  ")</f>
        <v xml:space="preserve">  </v>
      </c>
      <c r="E1131" s="42" t="str">
        <f>IFERROR(AVERAGE(Data!E1133), "  ")</f>
        <v xml:space="preserve">  </v>
      </c>
      <c r="F1131" s="42" t="str">
        <f>IFERROR(AVERAGE(Data!F1133), "  ")</f>
        <v xml:space="preserve">  </v>
      </c>
      <c r="G1131" s="42" t="str">
        <f>IFERROR(AVERAGE(Data!G1133), "  ")</f>
        <v xml:space="preserve">  </v>
      </c>
      <c r="H1131" s="44" t="str">
        <f>IFERROR(AVERAGE(Data!H1133), "  ")</f>
        <v xml:space="preserve">  </v>
      </c>
      <c r="I1131" s="44" t="str">
        <f>IFERROR(AVERAGE(Data!I1133), "  ")</f>
        <v xml:space="preserve">  </v>
      </c>
      <c r="J1131" s="42" t="str">
        <f>IFERROR(AVERAGE(Data!J1133), "  ")</f>
        <v xml:space="preserve">  </v>
      </c>
      <c r="K1131" s="44" t="str">
        <f>IFERROR(AVERAGE(Data!K1133), "  ")</f>
        <v xml:space="preserve">  </v>
      </c>
      <c r="L1131" s="45" t="str">
        <f>IFERROR(AVERAGE(Data!L1133), "  ")</f>
        <v xml:space="preserve">  </v>
      </c>
    </row>
    <row r="1132" spans="1:12" x14ac:dyDescent="0.2">
      <c r="A1132" s="43"/>
      <c r="B1132" s="42" t="str">
        <f>IFERROR(AVERAGE(Data!B1134), "  ")</f>
        <v xml:space="preserve">  </v>
      </c>
      <c r="C1132" s="42" t="str">
        <f>IFERROR(AVERAGE(Data!C1134), "  ")</f>
        <v xml:space="preserve">  </v>
      </c>
      <c r="D1132" s="42" t="str">
        <f>IFERROR(AVERAGE(Data!D1134), "  ")</f>
        <v xml:space="preserve">  </v>
      </c>
      <c r="E1132" s="42" t="str">
        <f>IFERROR(AVERAGE(Data!E1134), "  ")</f>
        <v xml:space="preserve">  </v>
      </c>
      <c r="F1132" s="42" t="str">
        <f>IFERROR(AVERAGE(Data!F1134), "  ")</f>
        <v xml:space="preserve">  </v>
      </c>
      <c r="G1132" s="42" t="str">
        <f>IFERROR(AVERAGE(Data!G1134), "  ")</f>
        <v xml:space="preserve">  </v>
      </c>
      <c r="H1132" s="44" t="str">
        <f>IFERROR(AVERAGE(Data!H1134), "  ")</f>
        <v xml:space="preserve">  </v>
      </c>
      <c r="I1132" s="44" t="str">
        <f>IFERROR(AVERAGE(Data!I1134), "  ")</f>
        <v xml:space="preserve">  </v>
      </c>
      <c r="J1132" s="42" t="str">
        <f>IFERROR(AVERAGE(Data!J1134), "  ")</f>
        <v xml:space="preserve">  </v>
      </c>
      <c r="K1132" s="44" t="str">
        <f>IFERROR(AVERAGE(Data!K1134), "  ")</f>
        <v xml:space="preserve">  </v>
      </c>
      <c r="L1132" s="45" t="str">
        <f>IFERROR(AVERAGE(Data!L1134), "  ")</f>
        <v xml:space="preserve">  </v>
      </c>
    </row>
    <row r="1133" spans="1:12" x14ac:dyDescent="0.2">
      <c r="A1133" s="43"/>
      <c r="B1133" s="42" t="str">
        <f>IFERROR(AVERAGE(Data!B1135), "  ")</f>
        <v xml:space="preserve">  </v>
      </c>
      <c r="C1133" s="42" t="str">
        <f>IFERROR(AVERAGE(Data!C1135), "  ")</f>
        <v xml:space="preserve">  </v>
      </c>
      <c r="D1133" s="42" t="str">
        <f>IFERROR(AVERAGE(Data!D1135), "  ")</f>
        <v xml:space="preserve">  </v>
      </c>
      <c r="E1133" s="42" t="str">
        <f>IFERROR(AVERAGE(Data!E1135), "  ")</f>
        <v xml:space="preserve">  </v>
      </c>
      <c r="F1133" s="42" t="str">
        <f>IFERROR(AVERAGE(Data!F1135), "  ")</f>
        <v xml:space="preserve">  </v>
      </c>
      <c r="G1133" s="42" t="str">
        <f>IFERROR(AVERAGE(Data!G1135), "  ")</f>
        <v xml:space="preserve">  </v>
      </c>
      <c r="H1133" s="44" t="str">
        <f>IFERROR(AVERAGE(Data!H1135), "  ")</f>
        <v xml:space="preserve">  </v>
      </c>
      <c r="I1133" s="44" t="str">
        <f>IFERROR(AVERAGE(Data!I1135), "  ")</f>
        <v xml:space="preserve">  </v>
      </c>
      <c r="J1133" s="42" t="str">
        <f>IFERROR(AVERAGE(Data!J1135), "  ")</f>
        <v xml:space="preserve">  </v>
      </c>
      <c r="K1133" s="44" t="str">
        <f>IFERROR(AVERAGE(Data!K1135), "  ")</f>
        <v xml:space="preserve">  </v>
      </c>
      <c r="L1133" s="45" t="str">
        <f>IFERROR(AVERAGE(Data!L1135), "  ")</f>
        <v xml:space="preserve">  </v>
      </c>
    </row>
    <row r="1134" spans="1:12" x14ac:dyDescent="0.2">
      <c r="A1134" s="43"/>
      <c r="B1134" s="42" t="str">
        <f>IFERROR(AVERAGE(Data!B1136), "  ")</f>
        <v xml:space="preserve">  </v>
      </c>
      <c r="C1134" s="42" t="str">
        <f>IFERROR(AVERAGE(Data!C1136), "  ")</f>
        <v xml:space="preserve">  </v>
      </c>
      <c r="D1134" s="42" t="str">
        <f>IFERROR(AVERAGE(Data!D1136), "  ")</f>
        <v xml:space="preserve">  </v>
      </c>
      <c r="E1134" s="42" t="str">
        <f>IFERROR(AVERAGE(Data!E1136), "  ")</f>
        <v xml:space="preserve">  </v>
      </c>
      <c r="F1134" s="42" t="str">
        <f>IFERROR(AVERAGE(Data!F1136), "  ")</f>
        <v xml:space="preserve">  </v>
      </c>
      <c r="G1134" s="42" t="str">
        <f>IFERROR(AVERAGE(Data!G1136), "  ")</f>
        <v xml:space="preserve">  </v>
      </c>
      <c r="H1134" s="44" t="str">
        <f>IFERROR(AVERAGE(Data!H1136), "  ")</f>
        <v xml:space="preserve">  </v>
      </c>
      <c r="I1134" s="44" t="str">
        <f>IFERROR(AVERAGE(Data!I1136), "  ")</f>
        <v xml:space="preserve">  </v>
      </c>
      <c r="J1134" s="42" t="str">
        <f>IFERROR(AVERAGE(Data!J1136), "  ")</f>
        <v xml:space="preserve">  </v>
      </c>
      <c r="K1134" s="44" t="str">
        <f>IFERROR(AVERAGE(Data!K1136), "  ")</f>
        <v xml:space="preserve">  </v>
      </c>
      <c r="L1134" s="45" t="str">
        <f>IFERROR(AVERAGE(Data!L1136), "  ")</f>
        <v xml:space="preserve">  </v>
      </c>
    </row>
    <row r="1135" spans="1:12" x14ac:dyDescent="0.2">
      <c r="A1135" s="43"/>
      <c r="B1135" s="42" t="str">
        <f>IFERROR(AVERAGE(Data!B1137), "  ")</f>
        <v xml:space="preserve">  </v>
      </c>
      <c r="C1135" s="42" t="str">
        <f>IFERROR(AVERAGE(Data!C1137), "  ")</f>
        <v xml:space="preserve">  </v>
      </c>
      <c r="D1135" s="42" t="str">
        <f>IFERROR(AVERAGE(Data!D1137), "  ")</f>
        <v xml:space="preserve">  </v>
      </c>
      <c r="E1135" s="42" t="str">
        <f>IFERROR(AVERAGE(Data!E1137), "  ")</f>
        <v xml:space="preserve">  </v>
      </c>
      <c r="F1135" s="42" t="str">
        <f>IFERROR(AVERAGE(Data!F1137), "  ")</f>
        <v xml:space="preserve">  </v>
      </c>
      <c r="G1135" s="42" t="str">
        <f>IFERROR(AVERAGE(Data!G1137), "  ")</f>
        <v xml:space="preserve">  </v>
      </c>
      <c r="H1135" s="44" t="str">
        <f>IFERROR(AVERAGE(Data!H1137), "  ")</f>
        <v xml:space="preserve">  </v>
      </c>
      <c r="I1135" s="44" t="str">
        <f>IFERROR(AVERAGE(Data!I1137), "  ")</f>
        <v xml:space="preserve">  </v>
      </c>
      <c r="J1135" s="42" t="str">
        <f>IFERROR(AVERAGE(Data!J1137), "  ")</f>
        <v xml:space="preserve">  </v>
      </c>
      <c r="K1135" s="44" t="str">
        <f>IFERROR(AVERAGE(Data!K1137), "  ")</f>
        <v xml:space="preserve">  </v>
      </c>
      <c r="L1135" s="45" t="str">
        <f>IFERROR(AVERAGE(Data!L1137), "  ")</f>
        <v xml:space="preserve">  </v>
      </c>
    </row>
    <row r="1136" spans="1:12" x14ac:dyDescent="0.2">
      <c r="A1136" s="43"/>
      <c r="B1136" s="42" t="str">
        <f>IFERROR(AVERAGE(Data!B1138), "  ")</f>
        <v xml:space="preserve">  </v>
      </c>
      <c r="C1136" s="42" t="str">
        <f>IFERROR(AVERAGE(Data!C1138), "  ")</f>
        <v xml:space="preserve">  </v>
      </c>
      <c r="D1136" s="42" t="str">
        <f>IFERROR(AVERAGE(Data!D1138), "  ")</f>
        <v xml:space="preserve">  </v>
      </c>
      <c r="E1136" s="42" t="str">
        <f>IFERROR(AVERAGE(Data!E1138), "  ")</f>
        <v xml:space="preserve">  </v>
      </c>
      <c r="F1136" s="42" t="str">
        <f>IFERROR(AVERAGE(Data!F1138), "  ")</f>
        <v xml:space="preserve">  </v>
      </c>
      <c r="G1136" s="42" t="str">
        <f>IFERROR(AVERAGE(Data!G1138), "  ")</f>
        <v xml:space="preserve">  </v>
      </c>
      <c r="H1136" s="44" t="str">
        <f>IFERROR(AVERAGE(Data!H1138), "  ")</f>
        <v xml:space="preserve">  </v>
      </c>
      <c r="I1136" s="44" t="str">
        <f>IFERROR(AVERAGE(Data!I1138), "  ")</f>
        <v xml:space="preserve">  </v>
      </c>
      <c r="J1136" s="42" t="str">
        <f>IFERROR(AVERAGE(Data!J1138), "  ")</f>
        <v xml:space="preserve">  </v>
      </c>
      <c r="K1136" s="44" t="str">
        <f>IFERROR(AVERAGE(Data!K1138), "  ")</f>
        <v xml:space="preserve">  </v>
      </c>
      <c r="L1136" s="45" t="str">
        <f>IFERROR(AVERAGE(Data!L1138), "  ")</f>
        <v xml:space="preserve">  </v>
      </c>
    </row>
    <row r="1137" spans="1:12" x14ac:dyDescent="0.2">
      <c r="A1137" s="43"/>
      <c r="B1137" s="42" t="str">
        <f>IFERROR(AVERAGE(Data!B1139), "  ")</f>
        <v xml:space="preserve">  </v>
      </c>
      <c r="C1137" s="42" t="str">
        <f>IFERROR(AVERAGE(Data!C1139), "  ")</f>
        <v xml:space="preserve">  </v>
      </c>
      <c r="D1137" s="42" t="str">
        <f>IFERROR(AVERAGE(Data!D1139), "  ")</f>
        <v xml:space="preserve">  </v>
      </c>
      <c r="E1137" s="42" t="str">
        <f>IFERROR(AVERAGE(Data!E1139), "  ")</f>
        <v xml:space="preserve">  </v>
      </c>
      <c r="F1137" s="42" t="str">
        <f>IFERROR(AVERAGE(Data!F1139), "  ")</f>
        <v xml:space="preserve">  </v>
      </c>
      <c r="G1137" s="42" t="str">
        <f>IFERROR(AVERAGE(Data!G1139), "  ")</f>
        <v xml:space="preserve">  </v>
      </c>
      <c r="H1137" s="44" t="str">
        <f>IFERROR(AVERAGE(Data!H1139), "  ")</f>
        <v xml:space="preserve">  </v>
      </c>
      <c r="I1137" s="44" t="str">
        <f>IFERROR(AVERAGE(Data!I1139), "  ")</f>
        <v xml:space="preserve">  </v>
      </c>
      <c r="J1137" s="42" t="str">
        <f>IFERROR(AVERAGE(Data!J1139), "  ")</f>
        <v xml:space="preserve">  </v>
      </c>
      <c r="K1137" s="44" t="str">
        <f>IFERROR(AVERAGE(Data!K1139), "  ")</f>
        <v xml:space="preserve">  </v>
      </c>
      <c r="L1137" s="45" t="str">
        <f>IFERROR(AVERAGE(Data!L1139), "  ")</f>
        <v xml:space="preserve">  </v>
      </c>
    </row>
    <row r="1138" spans="1:12" x14ac:dyDescent="0.2">
      <c r="A1138" s="43"/>
      <c r="B1138" s="42" t="str">
        <f>IFERROR(AVERAGE(Data!B1140), "  ")</f>
        <v xml:space="preserve">  </v>
      </c>
      <c r="C1138" s="42" t="str">
        <f>IFERROR(AVERAGE(Data!C1140), "  ")</f>
        <v xml:space="preserve">  </v>
      </c>
      <c r="D1138" s="42" t="str">
        <f>IFERROR(AVERAGE(Data!D1140), "  ")</f>
        <v xml:space="preserve">  </v>
      </c>
      <c r="E1138" s="42" t="str">
        <f>IFERROR(AVERAGE(Data!E1140), "  ")</f>
        <v xml:space="preserve">  </v>
      </c>
      <c r="F1138" s="42" t="str">
        <f>IFERROR(AVERAGE(Data!F1140), "  ")</f>
        <v xml:space="preserve">  </v>
      </c>
      <c r="G1138" s="42" t="str">
        <f>IFERROR(AVERAGE(Data!G1140), "  ")</f>
        <v xml:space="preserve">  </v>
      </c>
      <c r="H1138" s="44" t="str">
        <f>IFERROR(AVERAGE(Data!H1140), "  ")</f>
        <v xml:space="preserve">  </v>
      </c>
      <c r="I1138" s="44" t="str">
        <f>IFERROR(AVERAGE(Data!I1140), "  ")</f>
        <v xml:space="preserve">  </v>
      </c>
      <c r="J1138" s="42" t="str">
        <f>IFERROR(AVERAGE(Data!J1140), "  ")</f>
        <v xml:space="preserve">  </v>
      </c>
      <c r="K1138" s="44" t="str">
        <f>IFERROR(AVERAGE(Data!K1140), "  ")</f>
        <v xml:space="preserve">  </v>
      </c>
      <c r="L1138" s="45" t="str">
        <f>IFERROR(AVERAGE(Data!L1140), "  ")</f>
        <v xml:space="preserve">  </v>
      </c>
    </row>
    <row r="1139" spans="1:12" x14ac:dyDescent="0.2">
      <c r="A1139" s="43"/>
      <c r="B1139" s="42" t="str">
        <f>IFERROR(AVERAGE(Data!B1141), "  ")</f>
        <v xml:space="preserve">  </v>
      </c>
      <c r="C1139" s="42" t="str">
        <f>IFERROR(AVERAGE(Data!C1141), "  ")</f>
        <v xml:space="preserve">  </v>
      </c>
      <c r="D1139" s="42" t="str">
        <f>IFERROR(AVERAGE(Data!D1141), "  ")</f>
        <v xml:space="preserve">  </v>
      </c>
      <c r="E1139" s="42" t="str">
        <f>IFERROR(AVERAGE(Data!E1141), "  ")</f>
        <v xml:space="preserve">  </v>
      </c>
      <c r="F1139" s="42" t="str">
        <f>IFERROR(AVERAGE(Data!F1141), "  ")</f>
        <v xml:space="preserve">  </v>
      </c>
      <c r="G1139" s="42" t="str">
        <f>IFERROR(AVERAGE(Data!G1141), "  ")</f>
        <v xml:space="preserve">  </v>
      </c>
      <c r="H1139" s="44" t="str">
        <f>IFERROR(AVERAGE(Data!H1141), "  ")</f>
        <v xml:space="preserve">  </v>
      </c>
      <c r="I1139" s="44" t="str">
        <f>IFERROR(AVERAGE(Data!I1141), "  ")</f>
        <v xml:space="preserve">  </v>
      </c>
      <c r="J1139" s="42" t="str">
        <f>IFERROR(AVERAGE(Data!J1141), "  ")</f>
        <v xml:space="preserve">  </v>
      </c>
      <c r="K1139" s="44" t="str">
        <f>IFERROR(AVERAGE(Data!K1141), "  ")</f>
        <v xml:space="preserve">  </v>
      </c>
      <c r="L1139" s="45" t="str">
        <f>IFERROR(AVERAGE(Data!L1141), "  ")</f>
        <v xml:space="preserve">  </v>
      </c>
    </row>
    <row r="1140" spans="1:12" x14ac:dyDescent="0.2">
      <c r="A1140" s="43"/>
      <c r="B1140" s="42" t="str">
        <f>IFERROR(AVERAGE(Data!B1142), "  ")</f>
        <v xml:space="preserve">  </v>
      </c>
      <c r="C1140" s="42" t="str">
        <f>IFERROR(AVERAGE(Data!C1142), "  ")</f>
        <v xml:space="preserve">  </v>
      </c>
      <c r="D1140" s="42" t="str">
        <f>IFERROR(AVERAGE(Data!D1142), "  ")</f>
        <v xml:space="preserve">  </v>
      </c>
      <c r="E1140" s="42" t="str">
        <f>IFERROR(AVERAGE(Data!E1142), "  ")</f>
        <v xml:space="preserve">  </v>
      </c>
      <c r="F1140" s="42" t="str">
        <f>IFERROR(AVERAGE(Data!F1142), "  ")</f>
        <v xml:space="preserve">  </v>
      </c>
      <c r="G1140" s="42" t="str">
        <f>IFERROR(AVERAGE(Data!G1142), "  ")</f>
        <v xml:space="preserve">  </v>
      </c>
      <c r="H1140" s="44" t="str">
        <f>IFERROR(AVERAGE(Data!H1142), "  ")</f>
        <v xml:space="preserve">  </v>
      </c>
      <c r="I1140" s="44" t="str">
        <f>IFERROR(AVERAGE(Data!I1142), "  ")</f>
        <v xml:space="preserve">  </v>
      </c>
      <c r="J1140" s="42" t="str">
        <f>IFERROR(AVERAGE(Data!J1142), "  ")</f>
        <v xml:space="preserve">  </v>
      </c>
      <c r="K1140" s="44" t="str">
        <f>IFERROR(AVERAGE(Data!K1142), "  ")</f>
        <v xml:space="preserve">  </v>
      </c>
      <c r="L1140" s="45" t="str">
        <f>IFERROR(AVERAGE(Data!L1142), "  ")</f>
        <v xml:space="preserve">  </v>
      </c>
    </row>
    <row r="1141" spans="1:12" x14ac:dyDescent="0.2">
      <c r="A1141" s="43"/>
      <c r="B1141" s="42" t="str">
        <f>IFERROR(AVERAGE(Data!B1143), "  ")</f>
        <v xml:space="preserve">  </v>
      </c>
      <c r="C1141" s="42" t="str">
        <f>IFERROR(AVERAGE(Data!C1143), "  ")</f>
        <v xml:space="preserve">  </v>
      </c>
      <c r="D1141" s="42" t="str">
        <f>IFERROR(AVERAGE(Data!D1143), "  ")</f>
        <v xml:space="preserve">  </v>
      </c>
      <c r="E1141" s="42" t="str">
        <f>IFERROR(AVERAGE(Data!E1143), "  ")</f>
        <v xml:space="preserve">  </v>
      </c>
      <c r="F1141" s="42" t="str">
        <f>IFERROR(AVERAGE(Data!F1143), "  ")</f>
        <v xml:space="preserve">  </v>
      </c>
      <c r="G1141" s="42" t="str">
        <f>IFERROR(AVERAGE(Data!G1143), "  ")</f>
        <v xml:space="preserve">  </v>
      </c>
      <c r="H1141" s="44" t="str">
        <f>IFERROR(AVERAGE(Data!H1143), "  ")</f>
        <v xml:space="preserve">  </v>
      </c>
      <c r="I1141" s="44" t="str">
        <f>IFERROR(AVERAGE(Data!I1143), "  ")</f>
        <v xml:space="preserve">  </v>
      </c>
      <c r="J1141" s="42" t="str">
        <f>IFERROR(AVERAGE(Data!J1143), "  ")</f>
        <v xml:space="preserve">  </v>
      </c>
      <c r="K1141" s="44" t="str">
        <f>IFERROR(AVERAGE(Data!K1143), "  ")</f>
        <v xml:space="preserve">  </v>
      </c>
      <c r="L1141" s="45" t="str">
        <f>IFERROR(AVERAGE(Data!L1143), "  ")</f>
        <v xml:space="preserve">  </v>
      </c>
    </row>
    <row r="1142" spans="1:12" x14ac:dyDescent="0.2">
      <c r="A1142" s="43"/>
      <c r="B1142" s="42" t="str">
        <f>IFERROR(AVERAGE(Data!B1144), "  ")</f>
        <v xml:space="preserve">  </v>
      </c>
      <c r="C1142" s="42" t="str">
        <f>IFERROR(AVERAGE(Data!C1144), "  ")</f>
        <v xml:space="preserve">  </v>
      </c>
      <c r="D1142" s="42" t="str">
        <f>IFERROR(AVERAGE(Data!D1144), "  ")</f>
        <v xml:space="preserve">  </v>
      </c>
      <c r="E1142" s="42" t="str">
        <f>IFERROR(AVERAGE(Data!E1144), "  ")</f>
        <v xml:space="preserve">  </v>
      </c>
      <c r="F1142" s="42" t="str">
        <f>IFERROR(AVERAGE(Data!F1144), "  ")</f>
        <v xml:space="preserve">  </v>
      </c>
      <c r="G1142" s="42" t="str">
        <f>IFERROR(AVERAGE(Data!G1144), "  ")</f>
        <v xml:space="preserve">  </v>
      </c>
      <c r="H1142" s="44" t="str">
        <f>IFERROR(AVERAGE(Data!H1144), "  ")</f>
        <v xml:space="preserve">  </v>
      </c>
      <c r="I1142" s="44" t="str">
        <f>IFERROR(AVERAGE(Data!I1144), "  ")</f>
        <v xml:space="preserve">  </v>
      </c>
      <c r="J1142" s="42" t="str">
        <f>IFERROR(AVERAGE(Data!J1144), "  ")</f>
        <v xml:space="preserve">  </v>
      </c>
      <c r="K1142" s="44" t="str">
        <f>IFERROR(AVERAGE(Data!K1144), "  ")</f>
        <v xml:space="preserve">  </v>
      </c>
      <c r="L1142" s="45" t="str">
        <f>IFERROR(AVERAGE(Data!L1144), "  ")</f>
        <v xml:space="preserve">  </v>
      </c>
    </row>
    <row r="1143" spans="1:12" x14ac:dyDescent="0.2">
      <c r="A1143" s="43"/>
      <c r="B1143" s="42" t="str">
        <f>IFERROR(AVERAGE(Data!B1145), "  ")</f>
        <v xml:space="preserve">  </v>
      </c>
      <c r="C1143" s="42" t="str">
        <f>IFERROR(AVERAGE(Data!C1145), "  ")</f>
        <v xml:space="preserve">  </v>
      </c>
      <c r="D1143" s="42" t="str">
        <f>IFERROR(AVERAGE(Data!D1145), "  ")</f>
        <v xml:space="preserve">  </v>
      </c>
      <c r="E1143" s="42" t="str">
        <f>IFERROR(AVERAGE(Data!E1145), "  ")</f>
        <v xml:space="preserve">  </v>
      </c>
      <c r="F1143" s="42" t="str">
        <f>IFERROR(AVERAGE(Data!F1145), "  ")</f>
        <v xml:space="preserve">  </v>
      </c>
      <c r="G1143" s="42" t="str">
        <f>IFERROR(AVERAGE(Data!G1145), "  ")</f>
        <v xml:space="preserve">  </v>
      </c>
      <c r="H1143" s="44" t="str">
        <f>IFERROR(AVERAGE(Data!H1145), "  ")</f>
        <v xml:space="preserve">  </v>
      </c>
      <c r="I1143" s="44" t="str">
        <f>IFERROR(AVERAGE(Data!I1145), "  ")</f>
        <v xml:space="preserve">  </v>
      </c>
      <c r="J1143" s="42" t="str">
        <f>IFERROR(AVERAGE(Data!J1145), "  ")</f>
        <v xml:space="preserve">  </v>
      </c>
      <c r="K1143" s="44" t="str">
        <f>IFERROR(AVERAGE(Data!K1145), "  ")</f>
        <v xml:space="preserve">  </v>
      </c>
      <c r="L1143" s="45" t="str">
        <f>IFERROR(AVERAGE(Data!L1145), "  ")</f>
        <v xml:space="preserve">  </v>
      </c>
    </row>
    <row r="1144" spans="1:12" x14ac:dyDescent="0.2">
      <c r="A1144" s="43"/>
      <c r="B1144" s="42" t="str">
        <f>IFERROR(AVERAGE(Data!B1146), "  ")</f>
        <v xml:space="preserve">  </v>
      </c>
      <c r="C1144" s="42" t="str">
        <f>IFERROR(AVERAGE(Data!C1146), "  ")</f>
        <v xml:space="preserve">  </v>
      </c>
      <c r="D1144" s="42" t="str">
        <f>IFERROR(AVERAGE(Data!D1146), "  ")</f>
        <v xml:space="preserve">  </v>
      </c>
      <c r="E1144" s="42" t="str">
        <f>IFERROR(AVERAGE(Data!E1146), "  ")</f>
        <v xml:space="preserve">  </v>
      </c>
      <c r="F1144" s="42" t="str">
        <f>IFERROR(AVERAGE(Data!F1146), "  ")</f>
        <v xml:space="preserve">  </v>
      </c>
      <c r="G1144" s="42" t="str">
        <f>IFERROR(AVERAGE(Data!G1146), "  ")</f>
        <v xml:space="preserve">  </v>
      </c>
      <c r="H1144" s="44" t="str">
        <f>IFERROR(AVERAGE(Data!H1146), "  ")</f>
        <v xml:space="preserve">  </v>
      </c>
      <c r="I1144" s="44" t="str">
        <f>IFERROR(AVERAGE(Data!I1146), "  ")</f>
        <v xml:space="preserve">  </v>
      </c>
      <c r="J1144" s="42" t="str">
        <f>IFERROR(AVERAGE(Data!J1146), "  ")</f>
        <v xml:space="preserve">  </v>
      </c>
      <c r="K1144" s="44" t="str">
        <f>IFERROR(AVERAGE(Data!K1146), "  ")</f>
        <v xml:space="preserve">  </v>
      </c>
      <c r="L1144" s="45" t="str">
        <f>IFERROR(AVERAGE(Data!L1146), "  ")</f>
        <v xml:space="preserve">  </v>
      </c>
    </row>
    <row r="1145" spans="1:12" x14ac:dyDescent="0.2">
      <c r="A1145" s="43"/>
      <c r="B1145" s="42" t="str">
        <f>IFERROR(AVERAGE(Data!B1147), "  ")</f>
        <v xml:space="preserve">  </v>
      </c>
      <c r="C1145" s="42" t="str">
        <f>IFERROR(AVERAGE(Data!C1147), "  ")</f>
        <v xml:space="preserve">  </v>
      </c>
      <c r="D1145" s="42" t="str">
        <f>IFERROR(AVERAGE(Data!D1147), "  ")</f>
        <v xml:space="preserve">  </v>
      </c>
      <c r="E1145" s="42" t="str">
        <f>IFERROR(AVERAGE(Data!E1147), "  ")</f>
        <v xml:space="preserve">  </v>
      </c>
      <c r="F1145" s="42" t="str">
        <f>IFERROR(AVERAGE(Data!F1147), "  ")</f>
        <v xml:space="preserve">  </v>
      </c>
      <c r="G1145" s="42" t="str">
        <f>IFERROR(AVERAGE(Data!G1147), "  ")</f>
        <v xml:space="preserve">  </v>
      </c>
      <c r="H1145" s="44" t="str">
        <f>IFERROR(AVERAGE(Data!H1147), "  ")</f>
        <v xml:space="preserve">  </v>
      </c>
      <c r="I1145" s="44" t="str">
        <f>IFERROR(AVERAGE(Data!I1147), "  ")</f>
        <v xml:space="preserve">  </v>
      </c>
      <c r="J1145" s="42" t="str">
        <f>IFERROR(AVERAGE(Data!J1147), "  ")</f>
        <v xml:space="preserve">  </v>
      </c>
      <c r="K1145" s="44" t="str">
        <f>IFERROR(AVERAGE(Data!K1147), "  ")</f>
        <v xml:space="preserve">  </v>
      </c>
      <c r="L1145" s="45" t="str">
        <f>IFERROR(AVERAGE(Data!L1147), "  ")</f>
        <v xml:space="preserve">  </v>
      </c>
    </row>
    <row r="1146" spans="1:12" x14ac:dyDescent="0.2">
      <c r="A1146" s="43"/>
      <c r="B1146" s="42" t="str">
        <f>IFERROR(AVERAGE(Data!B1148), "  ")</f>
        <v xml:space="preserve">  </v>
      </c>
      <c r="C1146" s="42" t="str">
        <f>IFERROR(AVERAGE(Data!C1148), "  ")</f>
        <v xml:space="preserve">  </v>
      </c>
      <c r="D1146" s="42" t="str">
        <f>IFERROR(AVERAGE(Data!D1148), "  ")</f>
        <v xml:space="preserve">  </v>
      </c>
      <c r="E1146" s="42" t="str">
        <f>IFERROR(AVERAGE(Data!E1148), "  ")</f>
        <v xml:space="preserve">  </v>
      </c>
      <c r="F1146" s="42" t="str">
        <f>IFERROR(AVERAGE(Data!F1148), "  ")</f>
        <v xml:space="preserve">  </v>
      </c>
      <c r="G1146" s="42" t="str">
        <f>IFERROR(AVERAGE(Data!G1148), "  ")</f>
        <v xml:space="preserve">  </v>
      </c>
      <c r="H1146" s="44" t="str">
        <f>IFERROR(AVERAGE(Data!H1148), "  ")</f>
        <v xml:space="preserve">  </v>
      </c>
      <c r="I1146" s="44" t="str">
        <f>IFERROR(AVERAGE(Data!I1148), "  ")</f>
        <v xml:space="preserve">  </v>
      </c>
      <c r="J1146" s="42" t="str">
        <f>IFERROR(AVERAGE(Data!J1148), "  ")</f>
        <v xml:space="preserve">  </v>
      </c>
      <c r="K1146" s="44" t="str">
        <f>IFERROR(AVERAGE(Data!K1148), "  ")</f>
        <v xml:space="preserve">  </v>
      </c>
      <c r="L1146" s="45" t="str">
        <f>IFERROR(AVERAGE(Data!L1148), "  ")</f>
        <v xml:space="preserve">  </v>
      </c>
    </row>
    <row r="1147" spans="1:12" x14ac:dyDescent="0.2">
      <c r="A1147" s="43"/>
      <c r="B1147" s="42" t="str">
        <f>IFERROR(AVERAGE(Data!B1149), "  ")</f>
        <v xml:space="preserve">  </v>
      </c>
      <c r="C1147" s="42" t="str">
        <f>IFERROR(AVERAGE(Data!C1149), "  ")</f>
        <v xml:space="preserve">  </v>
      </c>
      <c r="D1147" s="42" t="str">
        <f>IFERROR(AVERAGE(Data!D1149), "  ")</f>
        <v xml:space="preserve">  </v>
      </c>
      <c r="E1147" s="42" t="str">
        <f>IFERROR(AVERAGE(Data!E1149), "  ")</f>
        <v xml:space="preserve">  </v>
      </c>
      <c r="F1147" s="42" t="str">
        <f>IFERROR(AVERAGE(Data!F1149), "  ")</f>
        <v xml:space="preserve">  </v>
      </c>
      <c r="G1147" s="42" t="str">
        <f>IFERROR(AVERAGE(Data!G1149), "  ")</f>
        <v xml:space="preserve">  </v>
      </c>
      <c r="H1147" s="44" t="str">
        <f>IFERROR(AVERAGE(Data!H1149), "  ")</f>
        <v xml:space="preserve">  </v>
      </c>
      <c r="I1147" s="44" t="str">
        <f>IFERROR(AVERAGE(Data!I1149), "  ")</f>
        <v xml:space="preserve">  </v>
      </c>
      <c r="J1147" s="42" t="str">
        <f>IFERROR(AVERAGE(Data!J1149), "  ")</f>
        <v xml:space="preserve">  </v>
      </c>
      <c r="K1147" s="44" t="str">
        <f>IFERROR(AVERAGE(Data!K1149), "  ")</f>
        <v xml:space="preserve">  </v>
      </c>
      <c r="L1147" s="45" t="str">
        <f>IFERROR(AVERAGE(Data!L1149), "  ")</f>
        <v xml:space="preserve">  </v>
      </c>
    </row>
    <row r="1148" spans="1:12" x14ac:dyDescent="0.2">
      <c r="A1148" s="43"/>
      <c r="B1148" s="42" t="str">
        <f>IFERROR(AVERAGE(Data!B1150), "  ")</f>
        <v xml:space="preserve">  </v>
      </c>
      <c r="C1148" s="42" t="str">
        <f>IFERROR(AVERAGE(Data!C1150), "  ")</f>
        <v xml:space="preserve">  </v>
      </c>
      <c r="D1148" s="42" t="str">
        <f>IFERROR(AVERAGE(Data!D1150), "  ")</f>
        <v xml:space="preserve">  </v>
      </c>
      <c r="E1148" s="42" t="str">
        <f>IFERROR(AVERAGE(Data!E1150), "  ")</f>
        <v xml:space="preserve">  </v>
      </c>
      <c r="F1148" s="42" t="str">
        <f>IFERROR(AVERAGE(Data!F1150), "  ")</f>
        <v xml:space="preserve">  </v>
      </c>
      <c r="G1148" s="42" t="str">
        <f>IFERROR(AVERAGE(Data!G1150), "  ")</f>
        <v xml:space="preserve">  </v>
      </c>
      <c r="H1148" s="44" t="str">
        <f>IFERROR(AVERAGE(Data!H1150), "  ")</f>
        <v xml:space="preserve">  </v>
      </c>
      <c r="I1148" s="44" t="str">
        <f>IFERROR(AVERAGE(Data!I1150), "  ")</f>
        <v xml:space="preserve">  </v>
      </c>
      <c r="J1148" s="42" t="str">
        <f>IFERROR(AVERAGE(Data!J1150), "  ")</f>
        <v xml:space="preserve">  </v>
      </c>
      <c r="K1148" s="44" t="str">
        <f>IFERROR(AVERAGE(Data!K1150), "  ")</f>
        <v xml:space="preserve">  </v>
      </c>
      <c r="L1148" s="45" t="str">
        <f>IFERROR(AVERAGE(Data!L1150), "  ")</f>
        <v xml:space="preserve">  </v>
      </c>
    </row>
    <row r="1149" spans="1:12" x14ac:dyDescent="0.2">
      <c r="A1149" s="43"/>
      <c r="B1149" s="42" t="str">
        <f>IFERROR(AVERAGE(Data!B1151), "  ")</f>
        <v xml:space="preserve">  </v>
      </c>
      <c r="C1149" s="42" t="str">
        <f>IFERROR(AVERAGE(Data!C1151), "  ")</f>
        <v xml:space="preserve">  </v>
      </c>
      <c r="D1149" s="42" t="str">
        <f>IFERROR(AVERAGE(Data!D1151), "  ")</f>
        <v xml:space="preserve">  </v>
      </c>
      <c r="E1149" s="42" t="str">
        <f>IFERROR(AVERAGE(Data!E1151), "  ")</f>
        <v xml:space="preserve">  </v>
      </c>
      <c r="F1149" s="42" t="str">
        <f>IFERROR(AVERAGE(Data!F1151), "  ")</f>
        <v xml:space="preserve">  </v>
      </c>
      <c r="G1149" s="42" t="str">
        <f>IFERROR(AVERAGE(Data!G1151), "  ")</f>
        <v xml:space="preserve">  </v>
      </c>
      <c r="H1149" s="44" t="str">
        <f>IFERROR(AVERAGE(Data!H1151), "  ")</f>
        <v xml:space="preserve">  </v>
      </c>
      <c r="I1149" s="44" t="str">
        <f>IFERROR(AVERAGE(Data!I1151), "  ")</f>
        <v xml:space="preserve">  </v>
      </c>
      <c r="J1149" s="42" t="str">
        <f>IFERROR(AVERAGE(Data!J1151), "  ")</f>
        <v xml:space="preserve">  </v>
      </c>
      <c r="K1149" s="44" t="str">
        <f>IFERROR(AVERAGE(Data!K1151), "  ")</f>
        <v xml:space="preserve">  </v>
      </c>
      <c r="L1149" s="45" t="str">
        <f>IFERROR(AVERAGE(Data!L1151), "  ")</f>
        <v xml:space="preserve">  </v>
      </c>
    </row>
    <row r="1150" spans="1:12" x14ac:dyDescent="0.2">
      <c r="A1150" s="43"/>
      <c r="B1150" s="42" t="str">
        <f>IFERROR(AVERAGE(Data!B1152), "  ")</f>
        <v xml:space="preserve">  </v>
      </c>
      <c r="C1150" s="42" t="str">
        <f>IFERROR(AVERAGE(Data!C1152), "  ")</f>
        <v xml:space="preserve">  </v>
      </c>
      <c r="D1150" s="42" t="str">
        <f>IFERROR(AVERAGE(Data!D1152), "  ")</f>
        <v xml:space="preserve">  </v>
      </c>
      <c r="E1150" s="42" t="str">
        <f>IFERROR(AVERAGE(Data!E1152), "  ")</f>
        <v xml:space="preserve">  </v>
      </c>
      <c r="F1150" s="42" t="str">
        <f>IFERROR(AVERAGE(Data!F1152), "  ")</f>
        <v xml:space="preserve">  </v>
      </c>
      <c r="G1150" s="42" t="str">
        <f>IFERROR(AVERAGE(Data!G1152), "  ")</f>
        <v xml:space="preserve">  </v>
      </c>
      <c r="H1150" s="44" t="str">
        <f>IFERROR(AVERAGE(Data!H1152), "  ")</f>
        <v xml:space="preserve">  </v>
      </c>
      <c r="I1150" s="44" t="str">
        <f>IFERROR(AVERAGE(Data!I1152), "  ")</f>
        <v xml:space="preserve">  </v>
      </c>
      <c r="J1150" s="42" t="str">
        <f>IFERROR(AVERAGE(Data!J1152), "  ")</f>
        <v xml:space="preserve">  </v>
      </c>
      <c r="K1150" s="44" t="str">
        <f>IFERROR(AVERAGE(Data!K1152), "  ")</f>
        <v xml:space="preserve">  </v>
      </c>
      <c r="L1150" s="45" t="str">
        <f>IFERROR(AVERAGE(Data!L1152), "  ")</f>
        <v xml:space="preserve">  </v>
      </c>
    </row>
    <row r="1151" spans="1:12" x14ac:dyDescent="0.2">
      <c r="A1151" s="43"/>
      <c r="B1151" s="42" t="str">
        <f>IFERROR(AVERAGE(Data!B1153), "  ")</f>
        <v xml:space="preserve">  </v>
      </c>
      <c r="C1151" s="42" t="str">
        <f>IFERROR(AVERAGE(Data!C1153), "  ")</f>
        <v xml:space="preserve">  </v>
      </c>
      <c r="D1151" s="42" t="str">
        <f>IFERROR(AVERAGE(Data!D1153), "  ")</f>
        <v xml:space="preserve">  </v>
      </c>
      <c r="E1151" s="42" t="str">
        <f>IFERROR(AVERAGE(Data!E1153), "  ")</f>
        <v xml:space="preserve">  </v>
      </c>
      <c r="F1151" s="42" t="str">
        <f>IFERROR(AVERAGE(Data!F1153), "  ")</f>
        <v xml:space="preserve">  </v>
      </c>
      <c r="G1151" s="42" t="str">
        <f>IFERROR(AVERAGE(Data!G1153), "  ")</f>
        <v xml:space="preserve">  </v>
      </c>
      <c r="H1151" s="44" t="str">
        <f>IFERROR(AVERAGE(Data!H1153), "  ")</f>
        <v xml:space="preserve">  </v>
      </c>
      <c r="I1151" s="44" t="str">
        <f>IFERROR(AVERAGE(Data!I1153), "  ")</f>
        <v xml:space="preserve">  </v>
      </c>
      <c r="J1151" s="42" t="str">
        <f>IFERROR(AVERAGE(Data!J1153), "  ")</f>
        <v xml:space="preserve">  </v>
      </c>
      <c r="K1151" s="44" t="str">
        <f>IFERROR(AVERAGE(Data!K1153), "  ")</f>
        <v xml:space="preserve">  </v>
      </c>
      <c r="L1151" s="45" t="str">
        <f>IFERROR(AVERAGE(Data!L1153), "  ")</f>
        <v xml:space="preserve">  </v>
      </c>
    </row>
    <row r="1152" spans="1:12" x14ac:dyDescent="0.2">
      <c r="A1152" s="43"/>
      <c r="B1152" s="42" t="str">
        <f>IFERROR(AVERAGE(Data!B1154), "  ")</f>
        <v xml:space="preserve">  </v>
      </c>
      <c r="C1152" s="42" t="str">
        <f>IFERROR(AVERAGE(Data!C1154), "  ")</f>
        <v xml:space="preserve">  </v>
      </c>
      <c r="D1152" s="42" t="str">
        <f>IFERROR(AVERAGE(Data!D1154), "  ")</f>
        <v xml:space="preserve">  </v>
      </c>
      <c r="E1152" s="42" t="str">
        <f>IFERROR(AVERAGE(Data!E1154), "  ")</f>
        <v xml:space="preserve">  </v>
      </c>
      <c r="F1152" s="42" t="str">
        <f>IFERROR(AVERAGE(Data!F1154), "  ")</f>
        <v xml:space="preserve">  </v>
      </c>
      <c r="G1152" s="42" t="str">
        <f>IFERROR(AVERAGE(Data!G1154), "  ")</f>
        <v xml:space="preserve">  </v>
      </c>
      <c r="H1152" s="44" t="str">
        <f>IFERROR(AVERAGE(Data!H1154), "  ")</f>
        <v xml:space="preserve">  </v>
      </c>
      <c r="I1152" s="44" t="str">
        <f>IFERROR(AVERAGE(Data!I1154), "  ")</f>
        <v xml:space="preserve">  </v>
      </c>
      <c r="J1152" s="42" t="str">
        <f>IFERROR(AVERAGE(Data!J1154), "  ")</f>
        <v xml:space="preserve">  </v>
      </c>
      <c r="K1152" s="44" t="str">
        <f>IFERROR(AVERAGE(Data!K1154), "  ")</f>
        <v xml:space="preserve">  </v>
      </c>
      <c r="L1152" s="45" t="str">
        <f>IFERROR(AVERAGE(Data!L1154), "  ")</f>
        <v xml:space="preserve">  </v>
      </c>
    </row>
    <row r="1153" spans="1:12" x14ac:dyDescent="0.2">
      <c r="A1153" s="43"/>
      <c r="B1153" s="42" t="str">
        <f>IFERROR(AVERAGE(Data!B1155), "  ")</f>
        <v xml:space="preserve">  </v>
      </c>
      <c r="C1153" s="42" t="str">
        <f>IFERROR(AVERAGE(Data!C1155), "  ")</f>
        <v xml:space="preserve">  </v>
      </c>
      <c r="D1153" s="42" t="str">
        <f>IFERROR(AVERAGE(Data!D1155), "  ")</f>
        <v xml:space="preserve">  </v>
      </c>
      <c r="E1153" s="42" t="str">
        <f>IFERROR(AVERAGE(Data!E1155), "  ")</f>
        <v xml:space="preserve">  </v>
      </c>
      <c r="F1153" s="42" t="str">
        <f>IFERROR(AVERAGE(Data!F1155), "  ")</f>
        <v xml:space="preserve">  </v>
      </c>
      <c r="G1153" s="42" t="str">
        <f>IFERROR(AVERAGE(Data!G1155), "  ")</f>
        <v xml:space="preserve">  </v>
      </c>
      <c r="H1153" s="44" t="str">
        <f>IFERROR(AVERAGE(Data!H1155), "  ")</f>
        <v xml:space="preserve">  </v>
      </c>
      <c r="I1153" s="44" t="str">
        <f>IFERROR(AVERAGE(Data!I1155), "  ")</f>
        <v xml:space="preserve">  </v>
      </c>
      <c r="J1153" s="42" t="str">
        <f>IFERROR(AVERAGE(Data!J1155), "  ")</f>
        <v xml:space="preserve">  </v>
      </c>
      <c r="K1153" s="44" t="str">
        <f>IFERROR(AVERAGE(Data!K1155), "  ")</f>
        <v xml:space="preserve">  </v>
      </c>
      <c r="L1153" s="45" t="str">
        <f>IFERROR(AVERAGE(Data!L1155), "  ")</f>
        <v xml:space="preserve">  </v>
      </c>
    </row>
    <row r="1154" spans="1:12" x14ac:dyDescent="0.2">
      <c r="A1154" s="43"/>
      <c r="B1154" s="42" t="str">
        <f>IFERROR(AVERAGE(Data!B1156), "  ")</f>
        <v xml:space="preserve">  </v>
      </c>
      <c r="C1154" s="42" t="str">
        <f>IFERROR(AVERAGE(Data!C1156), "  ")</f>
        <v xml:space="preserve">  </v>
      </c>
      <c r="D1154" s="42" t="str">
        <f>IFERROR(AVERAGE(Data!D1156), "  ")</f>
        <v xml:space="preserve">  </v>
      </c>
      <c r="E1154" s="42" t="str">
        <f>IFERROR(AVERAGE(Data!E1156), "  ")</f>
        <v xml:space="preserve">  </v>
      </c>
      <c r="F1154" s="42" t="str">
        <f>IFERROR(AVERAGE(Data!F1156), "  ")</f>
        <v xml:space="preserve">  </v>
      </c>
      <c r="G1154" s="42" t="str">
        <f>IFERROR(AVERAGE(Data!G1156), "  ")</f>
        <v xml:space="preserve">  </v>
      </c>
      <c r="H1154" s="44" t="str">
        <f>IFERROR(AVERAGE(Data!H1156), "  ")</f>
        <v xml:space="preserve">  </v>
      </c>
      <c r="I1154" s="44" t="str">
        <f>IFERROR(AVERAGE(Data!I1156), "  ")</f>
        <v xml:space="preserve">  </v>
      </c>
      <c r="J1154" s="42" t="str">
        <f>IFERROR(AVERAGE(Data!J1156), "  ")</f>
        <v xml:space="preserve">  </v>
      </c>
      <c r="K1154" s="44" t="str">
        <f>IFERROR(AVERAGE(Data!K1156), "  ")</f>
        <v xml:space="preserve">  </v>
      </c>
      <c r="L1154" s="45" t="str">
        <f>IFERROR(AVERAGE(Data!L1156), "  ")</f>
        <v xml:space="preserve">  </v>
      </c>
    </row>
    <row r="1155" spans="1:12" x14ac:dyDescent="0.2">
      <c r="A1155" s="43"/>
      <c r="B1155" s="42" t="str">
        <f>IFERROR(AVERAGE(Data!B1157), "  ")</f>
        <v xml:space="preserve">  </v>
      </c>
      <c r="C1155" s="42" t="str">
        <f>IFERROR(AVERAGE(Data!C1157), "  ")</f>
        <v xml:space="preserve">  </v>
      </c>
      <c r="D1155" s="42" t="str">
        <f>IFERROR(AVERAGE(Data!D1157), "  ")</f>
        <v xml:space="preserve">  </v>
      </c>
      <c r="E1155" s="42" t="str">
        <f>IFERROR(AVERAGE(Data!E1157), "  ")</f>
        <v xml:space="preserve">  </v>
      </c>
      <c r="F1155" s="42" t="str">
        <f>IFERROR(AVERAGE(Data!F1157), "  ")</f>
        <v xml:space="preserve">  </v>
      </c>
      <c r="G1155" s="42" t="str">
        <f>IFERROR(AVERAGE(Data!G1157), "  ")</f>
        <v xml:space="preserve">  </v>
      </c>
      <c r="H1155" s="44" t="str">
        <f>IFERROR(AVERAGE(Data!H1157), "  ")</f>
        <v xml:space="preserve">  </v>
      </c>
      <c r="I1155" s="44" t="str">
        <f>IFERROR(AVERAGE(Data!I1157), "  ")</f>
        <v xml:space="preserve">  </v>
      </c>
      <c r="J1155" s="42" t="str">
        <f>IFERROR(AVERAGE(Data!J1157), "  ")</f>
        <v xml:space="preserve">  </v>
      </c>
      <c r="K1155" s="44" t="str">
        <f>IFERROR(AVERAGE(Data!K1157), "  ")</f>
        <v xml:space="preserve">  </v>
      </c>
      <c r="L1155" s="45" t="str">
        <f>IFERROR(AVERAGE(Data!L1157), "  ")</f>
        <v xml:space="preserve">  </v>
      </c>
    </row>
    <row r="1156" spans="1:12" x14ac:dyDescent="0.2">
      <c r="A1156" s="43"/>
      <c r="B1156" s="42" t="str">
        <f>IFERROR(AVERAGE(Data!B1158), "  ")</f>
        <v xml:space="preserve">  </v>
      </c>
      <c r="C1156" s="42" t="str">
        <f>IFERROR(AVERAGE(Data!C1158), "  ")</f>
        <v xml:space="preserve">  </v>
      </c>
      <c r="D1156" s="42" t="str">
        <f>IFERROR(AVERAGE(Data!D1158), "  ")</f>
        <v xml:space="preserve">  </v>
      </c>
      <c r="E1156" s="42" t="str">
        <f>IFERROR(AVERAGE(Data!E1158), "  ")</f>
        <v xml:space="preserve">  </v>
      </c>
      <c r="F1156" s="42" t="str">
        <f>IFERROR(AVERAGE(Data!F1158), "  ")</f>
        <v xml:space="preserve">  </v>
      </c>
      <c r="G1156" s="42" t="str">
        <f>IFERROR(AVERAGE(Data!G1158), "  ")</f>
        <v xml:space="preserve">  </v>
      </c>
      <c r="H1156" s="44" t="str">
        <f>IFERROR(AVERAGE(Data!H1158), "  ")</f>
        <v xml:space="preserve">  </v>
      </c>
      <c r="I1156" s="44" t="str">
        <f>IFERROR(AVERAGE(Data!I1158), "  ")</f>
        <v xml:space="preserve">  </v>
      </c>
      <c r="J1156" s="42" t="str">
        <f>IFERROR(AVERAGE(Data!J1158), "  ")</f>
        <v xml:space="preserve">  </v>
      </c>
      <c r="K1156" s="44" t="str">
        <f>IFERROR(AVERAGE(Data!K1158), "  ")</f>
        <v xml:space="preserve">  </v>
      </c>
      <c r="L1156" s="45" t="str">
        <f>IFERROR(AVERAGE(Data!L1158), "  ")</f>
        <v xml:space="preserve">  </v>
      </c>
    </row>
    <row r="1157" spans="1:12" x14ac:dyDescent="0.2">
      <c r="A1157" s="43"/>
      <c r="B1157" s="42" t="str">
        <f>IFERROR(AVERAGE(Data!B1159), "  ")</f>
        <v xml:space="preserve">  </v>
      </c>
      <c r="C1157" s="42" t="str">
        <f>IFERROR(AVERAGE(Data!C1159), "  ")</f>
        <v xml:space="preserve">  </v>
      </c>
      <c r="D1157" s="42" t="str">
        <f>IFERROR(AVERAGE(Data!D1159), "  ")</f>
        <v xml:space="preserve">  </v>
      </c>
      <c r="E1157" s="42" t="str">
        <f>IFERROR(AVERAGE(Data!E1159), "  ")</f>
        <v xml:space="preserve">  </v>
      </c>
      <c r="F1157" s="42" t="str">
        <f>IFERROR(AVERAGE(Data!F1159), "  ")</f>
        <v xml:space="preserve">  </v>
      </c>
      <c r="G1157" s="42" t="str">
        <f>IFERROR(AVERAGE(Data!G1159), "  ")</f>
        <v xml:space="preserve">  </v>
      </c>
      <c r="H1157" s="44" t="str">
        <f>IFERROR(AVERAGE(Data!H1159), "  ")</f>
        <v xml:space="preserve">  </v>
      </c>
      <c r="I1157" s="44" t="str">
        <f>IFERROR(AVERAGE(Data!I1159), "  ")</f>
        <v xml:space="preserve">  </v>
      </c>
      <c r="J1157" s="42" t="str">
        <f>IFERROR(AVERAGE(Data!J1159), "  ")</f>
        <v xml:space="preserve">  </v>
      </c>
      <c r="K1157" s="44" t="str">
        <f>IFERROR(AVERAGE(Data!K1159), "  ")</f>
        <v xml:space="preserve">  </v>
      </c>
      <c r="L1157" s="45" t="str">
        <f>IFERROR(AVERAGE(Data!L1159), "  ")</f>
        <v xml:space="preserve">  </v>
      </c>
    </row>
    <row r="1158" spans="1:12" x14ac:dyDescent="0.2">
      <c r="A1158" s="43"/>
      <c r="B1158" s="42" t="str">
        <f>IFERROR(AVERAGE(Data!B1160), "  ")</f>
        <v xml:space="preserve">  </v>
      </c>
      <c r="C1158" s="42" t="str">
        <f>IFERROR(AVERAGE(Data!C1160), "  ")</f>
        <v xml:space="preserve">  </v>
      </c>
      <c r="D1158" s="42" t="str">
        <f>IFERROR(AVERAGE(Data!D1160), "  ")</f>
        <v xml:space="preserve">  </v>
      </c>
      <c r="E1158" s="42" t="str">
        <f>IFERROR(AVERAGE(Data!E1160), "  ")</f>
        <v xml:space="preserve">  </v>
      </c>
      <c r="F1158" s="42" t="str">
        <f>IFERROR(AVERAGE(Data!F1160), "  ")</f>
        <v xml:space="preserve">  </v>
      </c>
      <c r="G1158" s="42" t="str">
        <f>IFERROR(AVERAGE(Data!G1160), "  ")</f>
        <v xml:space="preserve">  </v>
      </c>
      <c r="H1158" s="44" t="str">
        <f>IFERROR(AVERAGE(Data!H1160), "  ")</f>
        <v xml:space="preserve">  </v>
      </c>
      <c r="I1158" s="44" t="str">
        <f>IFERROR(AVERAGE(Data!I1160), "  ")</f>
        <v xml:space="preserve">  </v>
      </c>
      <c r="J1158" s="42" t="str">
        <f>IFERROR(AVERAGE(Data!J1160), "  ")</f>
        <v xml:space="preserve">  </v>
      </c>
      <c r="K1158" s="44" t="str">
        <f>IFERROR(AVERAGE(Data!K1160), "  ")</f>
        <v xml:space="preserve">  </v>
      </c>
      <c r="L1158" s="45" t="str">
        <f>IFERROR(AVERAGE(Data!L1160), "  ")</f>
        <v xml:space="preserve">  </v>
      </c>
    </row>
    <row r="1159" spans="1:12" x14ac:dyDescent="0.2">
      <c r="A1159" s="43"/>
      <c r="B1159" s="42" t="str">
        <f>IFERROR(AVERAGE(Data!B1161), "  ")</f>
        <v xml:space="preserve">  </v>
      </c>
      <c r="C1159" s="42" t="str">
        <f>IFERROR(AVERAGE(Data!C1161), "  ")</f>
        <v xml:space="preserve">  </v>
      </c>
      <c r="D1159" s="42" t="str">
        <f>IFERROR(AVERAGE(Data!D1161), "  ")</f>
        <v xml:space="preserve">  </v>
      </c>
      <c r="E1159" s="42" t="str">
        <f>IFERROR(AVERAGE(Data!E1161), "  ")</f>
        <v xml:space="preserve">  </v>
      </c>
      <c r="F1159" s="42" t="str">
        <f>IFERROR(AVERAGE(Data!F1161), "  ")</f>
        <v xml:space="preserve">  </v>
      </c>
      <c r="G1159" s="42" t="str">
        <f>IFERROR(AVERAGE(Data!G1161), "  ")</f>
        <v xml:space="preserve">  </v>
      </c>
      <c r="H1159" s="44" t="str">
        <f>IFERROR(AVERAGE(Data!H1161), "  ")</f>
        <v xml:space="preserve">  </v>
      </c>
      <c r="I1159" s="44" t="str">
        <f>IFERROR(AVERAGE(Data!I1161), "  ")</f>
        <v xml:space="preserve">  </v>
      </c>
      <c r="J1159" s="42" t="str">
        <f>IFERROR(AVERAGE(Data!J1161), "  ")</f>
        <v xml:space="preserve">  </v>
      </c>
      <c r="K1159" s="44" t="str">
        <f>IFERROR(AVERAGE(Data!K1161), "  ")</f>
        <v xml:space="preserve">  </v>
      </c>
      <c r="L1159" s="45" t="str">
        <f>IFERROR(AVERAGE(Data!L1161), "  ")</f>
        <v xml:space="preserve">  </v>
      </c>
    </row>
    <row r="1160" spans="1:12" x14ac:dyDescent="0.2">
      <c r="A1160" s="43"/>
      <c r="B1160" s="42" t="str">
        <f>IFERROR(AVERAGE(Data!B1162), "  ")</f>
        <v xml:space="preserve">  </v>
      </c>
      <c r="C1160" s="42" t="str">
        <f>IFERROR(AVERAGE(Data!C1162), "  ")</f>
        <v xml:space="preserve">  </v>
      </c>
      <c r="D1160" s="42" t="str">
        <f>IFERROR(AVERAGE(Data!D1162), "  ")</f>
        <v xml:space="preserve">  </v>
      </c>
      <c r="E1160" s="42" t="str">
        <f>IFERROR(AVERAGE(Data!E1162), "  ")</f>
        <v xml:space="preserve">  </v>
      </c>
      <c r="F1160" s="42" t="str">
        <f>IFERROR(AVERAGE(Data!F1162), "  ")</f>
        <v xml:space="preserve">  </v>
      </c>
      <c r="G1160" s="42" t="str">
        <f>IFERROR(AVERAGE(Data!G1162), "  ")</f>
        <v xml:space="preserve">  </v>
      </c>
      <c r="H1160" s="44" t="str">
        <f>IFERROR(AVERAGE(Data!H1162), "  ")</f>
        <v xml:space="preserve">  </v>
      </c>
      <c r="I1160" s="44" t="str">
        <f>IFERROR(AVERAGE(Data!I1162), "  ")</f>
        <v xml:space="preserve">  </v>
      </c>
      <c r="J1160" s="42" t="str">
        <f>IFERROR(AVERAGE(Data!J1162), "  ")</f>
        <v xml:space="preserve">  </v>
      </c>
      <c r="K1160" s="44" t="str">
        <f>IFERROR(AVERAGE(Data!K1162), "  ")</f>
        <v xml:space="preserve">  </v>
      </c>
      <c r="L1160" s="45" t="str">
        <f>IFERROR(AVERAGE(Data!L1162), "  ")</f>
        <v xml:space="preserve">  </v>
      </c>
    </row>
    <row r="1161" spans="1:12" x14ac:dyDescent="0.2">
      <c r="A1161" s="43"/>
      <c r="B1161" s="42" t="str">
        <f>IFERROR(AVERAGE(Data!B1163), "  ")</f>
        <v xml:space="preserve">  </v>
      </c>
      <c r="C1161" s="42" t="str">
        <f>IFERROR(AVERAGE(Data!C1163), "  ")</f>
        <v xml:space="preserve">  </v>
      </c>
      <c r="D1161" s="42" t="str">
        <f>IFERROR(AVERAGE(Data!D1163), "  ")</f>
        <v xml:space="preserve">  </v>
      </c>
      <c r="E1161" s="42" t="str">
        <f>IFERROR(AVERAGE(Data!E1163), "  ")</f>
        <v xml:space="preserve">  </v>
      </c>
      <c r="F1161" s="42" t="str">
        <f>IFERROR(AVERAGE(Data!F1163), "  ")</f>
        <v xml:space="preserve">  </v>
      </c>
      <c r="G1161" s="42" t="str">
        <f>IFERROR(AVERAGE(Data!G1163), "  ")</f>
        <v xml:space="preserve">  </v>
      </c>
      <c r="H1161" s="44" t="str">
        <f>IFERROR(AVERAGE(Data!H1163), "  ")</f>
        <v xml:space="preserve">  </v>
      </c>
      <c r="I1161" s="44" t="str">
        <f>IFERROR(AVERAGE(Data!I1163), "  ")</f>
        <v xml:space="preserve">  </v>
      </c>
      <c r="J1161" s="42" t="str">
        <f>IFERROR(AVERAGE(Data!J1163), "  ")</f>
        <v xml:space="preserve">  </v>
      </c>
      <c r="K1161" s="44" t="str">
        <f>IFERROR(AVERAGE(Data!K1163), "  ")</f>
        <v xml:space="preserve">  </v>
      </c>
      <c r="L1161" s="45" t="str">
        <f>IFERROR(AVERAGE(Data!L1163), "  ")</f>
        <v xml:space="preserve">  </v>
      </c>
    </row>
    <row r="1162" spans="1:12" x14ac:dyDescent="0.2">
      <c r="A1162" s="43"/>
      <c r="B1162" s="42" t="str">
        <f>IFERROR(AVERAGE(Data!B1164), "  ")</f>
        <v xml:space="preserve">  </v>
      </c>
      <c r="C1162" s="42" t="str">
        <f>IFERROR(AVERAGE(Data!C1164), "  ")</f>
        <v xml:space="preserve">  </v>
      </c>
      <c r="D1162" s="42" t="str">
        <f>IFERROR(AVERAGE(Data!D1164), "  ")</f>
        <v xml:space="preserve">  </v>
      </c>
      <c r="E1162" s="42" t="str">
        <f>IFERROR(AVERAGE(Data!E1164), "  ")</f>
        <v xml:space="preserve">  </v>
      </c>
      <c r="F1162" s="42" t="str">
        <f>IFERROR(AVERAGE(Data!F1164), "  ")</f>
        <v xml:space="preserve">  </v>
      </c>
      <c r="G1162" s="42" t="str">
        <f>IFERROR(AVERAGE(Data!G1164), "  ")</f>
        <v xml:space="preserve">  </v>
      </c>
      <c r="H1162" s="44" t="str">
        <f>IFERROR(AVERAGE(Data!H1164), "  ")</f>
        <v xml:space="preserve">  </v>
      </c>
      <c r="I1162" s="44" t="str">
        <f>IFERROR(AVERAGE(Data!I1164), "  ")</f>
        <v xml:space="preserve">  </v>
      </c>
      <c r="J1162" s="42" t="str">
        <f>IFERROR(AVERAGE(Data!J1164), "  ")</f>
        <v xml:space="preserve">  </v>
      </c>
      <c r="K1162" s="44" t="str">
        <f>IFERROR(AVERAGE(Data!K1164), "  ")</f>
        <v xml:space="preserve">  </v>
      </c>
      <c r="L1162" s="45" t="str">
        <f>IFERROR(AVERAGE(Data!L1164), "  ")</f>
        <v xml:space="preserve">  </v>
      </c>
    </row>
    <row r="1163" spans="1:12" x14ac:dyDescent="0.2">
      <c r="A1163" s="43"/>
      <c r="B1163" s="42" t="str">
        <f>IFERROR(AVERAGE(Data!B1165), "  ")</f>
        <v xml:space="preserve">  </v>
      </c>
      <c r="C1163" s="42" t="str">
        <f>IFERROR(AVERAGE(Data!C1165), "  ")</f>
        <v xml:space="preserve">  </v>
      </c>
      <c r="D1163" s="42" t="str">
        <f>IFERROR(AVERAGE(Data!D1165), "  ")</f>
        <v xml:space="preserve">  </v>
      </c>
      <c r="E1163" s="42" t="str">
        <f>IFERROR(AVERAGE(Data!E1165), "  ")</f>
        <v xml:space="preserve">  </v>
      </c>
      <c r="F1163" s="42" t="str">
        <f>IFERROR(AVERAGE(Data!F1165), "  ")</f>
        <v xml:space="preserve">  </v>
      </c>
      <c r="G1163" s="42" t="str">
        <f>IFERROR(AVERAGE(Data!G1165), "  ")</f>
        <v xml:space="preserve">  </v>
      </c>
      <c r="H1163" s="44" t="str">
        <f>IFERROR(AVERAGE(Data!H1165), "  ")</f>
        <v xml:space="preserve">  </v>
      </c>
      <c r="I1163" s="44" t="str">
        <f>IFERROR(AVERAGE(Data!I1165), "  ")</f>
        <v xml:space="preserve">  </v>
      </c>
      <c r="J1163" s="42" t="str">
        <f>IFERROR(AVERAGE(Data!J1165), "  ")</f>
        <v xml:space="preserve">  </v>
      </c>
      <c r="K1163" s="44" t="str">
        <f>IFERROR(AVERAGE(Data!K1165), "  ")</f>
        <v xml:space="preserve">  </v>
      </c>
      <c r="L1163" s="45" t="str">
        <f>IFERROR(AVERAGE(Data!L1165), "  ")</f>
        <v xml:space="preserve">  </v>
      </c>
    </row>
    <row r="1164" spans="1:12" x14ac:dyDescent="0.2">
      <c r="A1164" s="43"/>
      <c r="B1164" s="42" t="str">
        <f>IFERROR(AVERAGE(Data!B1166), "  ")</f>
        <v xml:space="preserve">  </v>
      </c>
      <c r="C1164" s="42" t="str">
        <f>IFERROR(AVERAGE(Data!C1166), "  ")</f>
        <v xml:space="preserve">  </v>
      </c>
      <c r="D1164" s="42" t="str">
        <f>IFERROR(AVERAGE(Data!D1166), "  ")</f>
        <v xml:space="preserve">  </v>
      </c>
      <c r="E1164" s="42" t="str">
        <f>IFERROR(AVERAGE(Data!E1166), "  ")</f>
        <v xml:space="preserve">  </v>
      </c>
      <c r="F1164" s="42" t="str">
        <f>IFERROR(AVERAGE(Data!F1166), "  ")</f>
        <v xml:space="preserve">  </v>
      </c>
      <c r="G1164" s="42" t="str">
        <f>IFERROR(AVERAGE(Data!G1166), "  ")</f>
        <v xml:space="preserve">  </v>
      </c>
      <c r="H1164" s="44" t="str">
        <f>IFERROR(AVERAGE(Data!H1166), "  ")</f>
        <v xml:space="preserve">  </v>
      </c>
      <c r="I1164" s="44" t="str">
        <f>IFERROR(AVERAGE(Data!I1166), "  ")</f>
        <v xml:space="preserve">  </v>
      </c>
      <c r="J1164" s="42" t="str">
        <f>IFERROR(AVERAGE(Data!J1166), "  ")</f>
        <v xml:space="preserve">  </v>
      </c>
      <c r="K1164" s="44" t="str">
        <f>IFERROR(AVERAGE(Data!K1166), "  ")</f>
        <v xml:space="preserve">  </v>
      </c>
      <c r="L1164" s="45" t="str">
        <f>IFERROR(AVERAGE(Data!L1166), "  ")</f>
        <v xml:space="preserve">  </v>
      </c>
    </row>
    <row r="1165" spans="1:12" x14ac:dyDescent="0.2">
      <c r="A1165" s="43"/>
      <c r="B1165" s="42" t="str">
        <f>IFERROR(AVERAGE(Data!B1167), "  ")</f>
        <v xml:space="preserve">  </v>
      </c>
      <c r="C1165" s="42" t="str">
        <f>IFERROR(AVERAGE(Data!C1167), "  ")</f>
        <v xml:space="preserve">  </v>
      </c>
      <c r="D1165" s="42" t="str">
        <f>IFERROR(AVERAGE(Data!D1167), "  ")</f>
        <v xml:space="preserve">  </v>
      </c>
      <c r="E1165" s="42" t="str">
        <f>IFERROR(AVERAGE(Data!E1167), "  ")</f>
        <v xml:space="preserve">  </v>
      </c>
      <c r="F1165" s="42" t="str">
        <f>IFERROR(AVERAGE(Data!F1167), "  ")</f>
        <v xml:space="preserve">  </v>
      </c>
      <c r="G1165" s="42" t="str">
        <f>IFERROR(AVERAGE(Data!G1167), "  ")</f>
        <v xml:space="preserve">  </v>
      </c>
      <c r="H1165" s="44" t="str">
        <f>IFERROR(AVERAGE(Data!H1167), "  ")</f>
        <v xml:space="preserve">  </v>
      </c>
      <c r="I1165" s="44" t="str">
        <f>IFERROR(AVERAGE(Data!I1167), "  ")</f>
        <v xml:space="preserve">  </v>
      </c>
      <c r="J1165" s="42" t="str">
        <f>IFERROR(AVERAGE(Data!J1167), "  ")</f>
        <v xml:space="preserve">  </v>
      </c>
      <c r="K1165" s="44" t="str">
        <f>IFERROR(AVERAGE(Data!K1167), "  ")</f>
        <v xml:space="preserve">  </v>
      </c>
      <c r="L1165" s="45" t="str">
        <f>IFERROR(AVERAGE(Data!L1167), "  ")</f>
        <v xml:space="preserve">  </v>
      </c>
    </row>
    <row r="1166" spans="1:12" x14ac:dyDescent="0.2">
      <c r="A1166" s="43"/>
      <c r="B1166" s="42" t="str">
        <f>IFERROR(AVERAGE(Data!B1168), "  ")</f>
        <v xml:space="preserve">  </v>
      </c>
      <c r="C1166" s="42" t="str">
        <f>IFERROR(AVERAGE(Data!C1168), "  ")</f>
        <v xml:space="preserve">  </v>
      </c>
      <c r="D1166" s="42" t="str">
        <f>IFERROR(AVERAGE(Data!D1168), "  ")</f>
        <v xml:space="preserve">  </v>
      </c>
      <c r="E1166" s="42" t="str">
        <f>IFERROR(AVERAGE(Data!E1168), "  ")</f>
        <v xml:space="preserve">  </v>
      </c>
      <c r="F1166" s="42" t="str">
        <f>IFERROR(AVERAGE(Data!F1168), "  ")</f>
        <v xml:space="preserve">  </v>
      </c>
      <c r="G1166" s="42" t="str">
        <f>IFERROR(AVERAGE(Data!G1168), "  ")</f>
        <v xml:space="preserve">  </v>
      </c>
      <c r="H1166" s="44" t="str">
        <f>IFERROR(AVERAGE(Data!H1168), "  ")</f>
        <v xml:space="preserve">  </v>
      </c>
      <c r="I1166" s="44" t="str">
        <f>IFERROR(AVERAGE(Data!I1168), "  ")</f>
        <v xml:space="preserve">  </v>
      </c>
      <c r="J1166" s="42" t="str">
        <f>IFERROR(AVERAGE(Data!J1168), "  ")</f>
        <v xml:space="preserve">  </v>
      </c>
      <c r="K1166" s="44" t="str">
        <f>IFERROR(AVERAGE(Data!K1168), "  ")</f>
        <v xml:space="preserve">  </v>
      </c>
      <c r="L1166" s="45" t="str">
        <f>IFERROR(AVERAGE(Data!L1168), "  ")</f>
        <v xml:space="preserve">  </v>
      </c>
    </row>
    <row r="1167" spans="1:12" x14ac:dyDescent="0.2">
      <c r="A1167" s="43"/>
      <c r="B1167" s="42" t="str">
        <f>IFERROR(AVERAGE(Data!B1169), "  ")</f>
        <v xml:space="preserve">  </v>
      </c>
      <c r="C1167" s="42" t="str">
        <f>IFERROR(AVERAGE(Data!C1169), "  ")</f>
        <v xml:space="preserve">  </v>
      </c>
      <c r="D1167" s="42" t="str">
        <f>IFERROR(AVERAGE(Data!D1169), "  ")</f>
        <v xml:space="preserve">  </v>
      </c>
      <c r="E1167" s="42" t="str">
        <f>IFERROR(AVERAGE(Data!E1169), "  ")</f>
        <v xml:space="preserve">  </v>
      </c>
      <c r="F1167" s="42" t="str">
        <f>IFERROR(AVERAGE(Data!F1169), "  ")</f>
        <v xml:space="preserve">  </v>
      </c>
      <c r="G1167" s="42" t="str">
        <f>IFERROR(AVERAGE(Data!G1169), "  ")</f>
        <v xml:space="preserve">  </v>
      </c>
      <c r="H1167" s="44" t="str">
        <f>IFERROR(AVERAGE(Data!H1169), "  ")</f>
        <v xml:space="preserve">  </v>
      </c>
      <c r="I1167" s="44" t="str">
        <f>IFERROR(AVERAGE(Data!I1169), "  ")</f>
        <v xml:space="preserve">  </v>
      </c>
      <c r="J1167" s="42" t="str">
        <f>IFERROR(AVERAGE(Data!J1169), "  ")</f>
        <v xml:space="preserve">  </v>
      </c>
      <c r="K1167" s="44" t="str">
        <f>IFERROR(AVERAGE(Data!K1169), "  ")</f>
        <v xml:space="preserve">  </v>
      </c>
      <c r="L1167" s="45" t="str">
        <f>IFERROR(AVERAGE(Data!L1169), "  ")</f>
        <v xml:space="preserve">  </v>
      </c>
    </row>
    <row r="1168" spans="1:12" x14ac:dyDescent="0.2">
      <c r="A1168" s="43"/>
      <c r="B1168" s="42" t="str">
        <f>IFERROR(AVERAGE(Data!B1170), "  ")</f>
        <v xml:space="preserve">  </v>
      </c>
      <c r="C1168" s="42" t="str">
        <f>IFERROR(AVERAGE(Data!C1170), "  ")</f>
        <v xml:space="preserve">  </v>
      </c>
      <c r="D1168" s="42" t="str">
        <f>IFERROR(AVERAGE(Data!D1170), "  ")</f>
        <v xml:space="preserve">  </v>
      </c>
      <c r="E1168" s="42" t="str">
        <f>IFERROR(AVERAGE(Data!E1170), "  ")</f>
        <v xml:space="preserve">  </v>
      </c>
      <c r="F1168" s="42" t="str">
        <f>IFERROR(AVERAGE(Data!F1170), "  ")</f>
        <v xml:space="preserve">  </v>
      </c>
      <c r="G1168" s="42" t="str">
        <f>IFERROR(AVERAGE(Data!G1170), "  ")</f>
        <v xml:space="preserve">  </v>
      </c>
      <c r="H1168" s="44" t="str">
        <f>IFERROR(AVERAGE(Data!H1170), "  ")</f>
        <v xml:space="preserve">  </v>
      </c>
      <c r="I1168" s="44" t="str">
        <f>IFERROR(AVERAGE(Data!I1170), "  ")</f>
        <v xml:space="preserve">  </v>
      </c>
      <c r="J1168" s="42" t="str">
        <f>IFERROR(AVERAGE(Data!J1170), "  ")</f>
        <v xml:space="preserve">  </v>
      </c>
      <c r="K1168" s="44" t="str">
        <f>IFERROR(AVERAGE(Data!K1170), "  ")</f>
        <v xml:space="preserve">  </v>
      </c>
      <c r="L1168" s="45" t="str">
        <f>IFERROR(AVERAGE(Data!L1170), "  ")</f>
        <v xml:space="preserve">  </v>
      </c>
    </row>
    <row r="1169" spans="1:12" x14ac:dyDescent="0.2">
      <c r="A1169" s="43"/>
      <c r="B1169" s="42" t="str">
        <f>IFERROR(AVERAGE(Data!B1171), "  ")</f>
        <v xml:space="preserve">  </v>
      </c>
      <c r="C1169" s="42" t="str">
        <f>IFERROR(AVERAGE(Data!C1171), "  ")</f>
        <v xml:space="preserve">  </v>
      </c>
      <c r="D1169" s="42" t="str">
        <f>IFERROR(AVERAGE(Data!D1171), "  ")</f>
        <v xml:space="preserve">  </v>
      </c>
      <c r="E1169" s="42" t="str">
        <f>IFERROR(AVERAGE(Data!E1171), "  ")</f>
        <v xml:space="preserve">  </v>
      </c>
      <c r="F1169" s="42" t="str">
        <f>IFERROR(AVERAGE(Data!F1171), "  ")</f>
        <v xml:space="preserve">  </v>
      </c>
      <c r="G1169" s="42" t="str">
        <f>IFERROR(AVERAGE(Data!G1171), "  ")</f>
        <v xml:space="preserve">  </v>
      </c>
      <c r="H1169" s="44" t="str">
        <f>IFERROR(AVERAGE(Data!H1171), "  ")</f>
        <v xml:space="preserve">  </v>
      </c>
      <c r="I1169" s="44" t="str">
        <f>IFERROR(AVERAGE(Data!I1171), "  ")</f>
        <v xml:space="preserve">  </v>
      </c>
      <c r="J1169" s="42" t="str">
        <f>IFERROR(AVERAGE(Data!J1171), "  ")</f>
        <v xml:space="preserve">  </v>
      </c>
      <c r="K1169" s="44" t="str">
        <f>IFERROR(AVERAGE(Data!K1171), "  ")</f>
        <v xml:space="preserve">  </v>
      </c>
      <c r="L1169" s="45" t="str">
        <f>IFERROR(AVERAGE(Data!L1171), "  ")</f>
        <v xml:space="preserve">  </v>
      </c>
    </row>
    <row r="1170" spans="1:12" x14ac:dyDescent="0.2">
      <c r="A1170" s="43"/>
      <c r="B1170" s="42" t="str">
        <f>IFERROR(AVERAGE(Data!B1172), "  ")</f>
        <v xml:space="preserve">  </v>
      </c>
      <c r="C1170" s="42" t="str">
        <f>IFERROR(AVERAGE(Data!C1172), "  ")</f>
        <v xml:space="preserve">  </v>
      </c>
      <c r="D1170" s="42" t="str">
        <f>IFERROR(AVERAGE(Data!D1172), "  ")</f>
        <v xml:space="preserve">  </v>
      </c>
      <c r="E1170" s="42" t="str">
        <f>IFERROR(AVERAGE(Data!E1172), "  ")</f>
        <v xml:space="preserve">  </v>
      </c>
      <c r="F1170" s="42" t="str">
        <f>IFERROR(AVERAGE(Data!F1172), "  ")</f>
        <v xml:space="preserve">  </v>
      </c>
      <c r="G1170" s="42" t="str">
        <f>IFERROR(AVERAGE(Data!G1172), "  ")</f>
        <v xml:space="preserve">  </v>
      </c>
      <c r="H1170" s="44" t="str">
        <f>IFERROR(AVERAGE(Data!H1172), "  ")</f>
        <v xml:space="preserve">  </v>
      </c>
      <c r="I1170" s="44" t="str">
        <f>IFERROR(AVERAGE(Data!I1172), "  ")</f>
        <v xml:space="preserve">  </v>
      </c>
      <c r="J1170" s="42" t="str">
        <f>IFERROR(AVERAGE(Data!J1172), "  ")</f>
        <v xml:space="preserve">  </v>
      </c>
      <c r="K1170" s="44" t="str">
        <f>IFERROR(AVERAGE(Data!K1172), "  ")</f>
        <v xml:space="preserve">  </v>
      </c>
      <c r="L1170" s="45" t="str">
        <f>IFERROR(AVERAGE(Data!L1172), "  ")</f>
        <v xml:space="preserve">  </v>
      </c>
    </row>
    <row r="1171" spans="1:12" x14ac:dyDescent="0.2">
      <c r="A1171" s="43"/>
      <c r="B1171" s="42" t="str">
        <f>IFERROR(AVERAGE(Data!B1173), "  ")</f>
        <v xml:space="preserve">  </v>
      </c>
      <c r="C1171" s="42" t="str">
        <f>IFERROR(AVERAGE(Data!C1173), "  ")</f>
        <v xml:space="preserve">  </v>
      </c>
      <c r="D1171" s="42" t="str">
        <f>IFERROR(AVERAGE(Data!D1173), "  ")</f>
        <v xml:space="preserve">  </v>
      </c>
      <c r="E1171" s="42" t="str">
        <f>IFERROR(AVERAGE(Data!E1173), "  ")</f>
        <v xml:space="preserve">  </v>
      </c>
      <c r="F1171" s="42" t="str">
        <f>IFERROR(AVERAGE(Data!F1173), "  ")</f>
        <v xml:space="preserve">  </v>
      </c>
      <c r="G1171" s="42" t="str">
        <f>IFERROR(AVERAGE(Data!G1173), "  ")</f>
        <v xml:space="preserve">  </v>
      </c>
      <c r="H1171" s="44" t="str">
        <f>IFERROR(AVERAGE(Data!H1173), "  ")</f>
        <v xml:space="preserve">  </v>
      </c>
      <c r="I1171" s="44" t="str">
        <f>IFERROR(AVERAGE(Data!I1173), "  ")</f>
        <v xml:space="preserve">  </v>
      </c>
      <c r="J1171" s="42" t="str">
        <f>IFERROR(AVERAGE(Data!J1173), "  ")</f>
        <v xml:space="preserve">  </v>
      </c>
      <c r="K1171" s="44" t="str">
        <f>IFERROR(AVERAGE(Data!K1173), "  ")</f>
        <v xml:space="preserve">  </v>
      </c>
      <c r="L1171" s="45" t="str">
        <f>IFERROR(AVERAGE(Data!L1173), "  ")</f>
        <v xml:space="preserve">  </v>
      </c>
    </row>
    <row r="1172" spans="1:12" x14ac:dyDescent="0.2">
      <c r="A1172" s="43"/>
      <c r="B1172" s="42" t="str">
        <f>IFERROR(AVERAGE(Data!B1174), "  ")</f>
        <v xml:space="preserve">  </v>
      </c>
      <c r="C1172" s="42" t="str">
        <f>IFERROR(AVERAGE(Data!C1174), "  ")</f>
        <v xml:space="preserve">  </v>
      </c>
      <c r="D1172" s="42" t="str">
        <f>IFERROR(AVERAGE(Data!D1174), "  ")</f>
        <v xml:space="preserve">  </v>
      </c>
      <c r="E1172" s="42" t="str">
        <f>IFERROR(AVERAGE(Data!E1174), "  ")</f>
        <v xml:space="preserve">  </v>
      </c>
      <c r="F1172" s="42" t="str">
        <f>IFERROR(AVERAGE(Data!F1174), "  ")</f>
        <v xml:space="preserve">  </v>
      </c>
      <c r="G1172" s="42" t="str">
        <f>IFERROR(AVERAGE(Data!G1174), "  ")</f>
        <v xml:space="preserve">  </v>
      </c>
      <c r="H1172" s="44" t="str">
        <f>IFERROR(AVERAGE(Data!H1174), "  ")</f>
        <v xml:space="preserve">  </v>
      </c>
      <c r="I1172" s="44" t="str">
        <f>IFERROR(AVERAGE(Data!I1174), "  ")</f>
        <v xml:space="preserve">  </v>
      </c>
      <c r="J1172" s="42" t="str">
        <f>IFERROR(AVERAGE(Data!J1174), "  ")</f>
        <v xml:space="preserve">  </v>
      </c>
      <c r="K1172" s="44" t="str">
        <f>IFERROR(AVERAGE(Data!K1174), "  ")</f>
        <v xml:space="preserve">  </v>
      </c>
      <c r="L1172" s="45" t="str">
        <f>IFERROR(AVERAGE(Data!L1174), "  ")</f>
        <v xml:space="preserve">  </v>
      </c>
    </row>
    <row r="1173" spans="1:12" x14ac:dyDescent="0.2">
      <c r="A1173" s="43"/>
      <c r="B1173" s="42" t="str">
        <f>IFERROR(AVERAGE(Data!B1175), "  ")</f>
        <v xml:space="preserve">  </v>
      </c>
      <c r="C1173" s="42" t="str">
        <f>IFERROR(AVERAGE(Data!C1175), "  ")</f>
        <v xml:space="preserve">  </v>
      </c>
      <c r="D1173" s="42" t="str">
        <f>IFERROR(AVERAGE(Data!D1175), "  ")</f>
        <v xml:space="preserve">  </v>
      </c>
      <c r="E1173" s="42" t="str">
        <f>IFERROR(AVERAGE(Data!E1175), "  ")</f>
        <v xml:space="preserve">  </v>
      </c>
      <c r="F1173" s="42" t="str">
        <f>IFERROR(AVERAGE(Data!F1175), "  ")</f>
        <v xml:space="preserve">  </v>
      </c>
      <c r="G1173" s="42" t="str">
        <f>IFERROR(AVERAGE(Data!G1175), "  ")</f>
        <v xml:space="preserve">  </v>
      </c>
      <c r="H1173" s="44" t="str">
        <f>IFERROR(AVERAGE(Data!H1175), "  ")</f>
        <v xml:space="preserve">  </v>
      </c>
      <c r="I1173" s="44" t="str">
        <f>IFERROR(AVERAGE(Data!I1175), "  ")</f>
        <v xml:space="preserve">  </v>
      </c>
      <c r="J1173" s="42" t="str">
        <f>IFERROR(AVERAGE(Data!J1175), "  ")</f>
        <v xml:space="preserve">  </v>
      </c>
      <c r="K1173" s="44" t="str">
        <f>IFERROR(AVERAGE(Data!K1175), "  ")</f>
        <v xml:space="preserve">  </v>
      </c>
      <c r="L1173" s="45" t="str">
        <f>IFERROR(AVERAGE(Data!L1175), "  ")</f>
        <v xml:space="preserve">  </v>
      </c>
    </row>
    <row r="1174" spans="1:12" x14ac:dyDescent="0.2">
      <c r="A1174" s="43"/>
      <c r="B1174" s="42" t="str">
        <f>IFERROR(AVERAGE(Data!B1176), "  ")</f>
        <v xml:space="preserve">  </v>
      </c>
      <c r="C1174" s="42" t="str">
        <f>IFERROR(AVERAGE(Data!C1176), "  ")</f>
        <v xml:space="preserve">  </v>
      </c>
      <c r="D1174" s="42" t="str">
        <f>IFERROR(AVERAGE(Data!D1176), "  ")</f>
        <v xml:space="preserve">  </v>
      </c>
      <c r="E1174" s="42" t="str">
        <f>IFERROR(AVERAGE(Data!E1176), "  ")</f>
        <v xml:space="preserve">  </v>
      </c>
      <c r="F1174" s="42" t="str">
        <f>IFERROR(AVERAGE(Data!F1176), "  ")</f>
        <v xml:space="preserve">  </v>
      </c>
      <c r="G1174" s="42" t="str">
        <f>IFERROR(AVERAGE(Data!G1176), "  ")</f>
        <v xml:space="preserve">  </v>
      </c>
      <c r="H1174" s="44" t="str">
        <f>IFERROR(AVERAGE(Data!H1176), "  ")</f>
        <v xml:space="preserve">  </v>
      </c>
      <c r="I1174" s="44" t="str">
        <f>IFERROR(AVERAGE(Data!I1176), "  ")</f>
        <v xml:space="preserve">  </v>
      </c>
      <c r="J1174" s="42" t="str">
        <f>IFERROR(AVERAGE(Data!J1176), "  ")</f>
        <v xml:space="preserve">  </v>
      </c>
      <c r="K1174" s="44" t="str">
        <f>IFERROR(AVERAGE(Data!K1176), "  ")</f>
        <v xml:space="preserve">  </v>
      </c>
      <c r="L1174" s="45" t="str">
        <f>IFERROR(AVERAGE(Data!L1176), "  ")</f>
        <v xml:space="preserve">  </v>
      </c>
    </row>
    <row r="1175" spans="1:12" x14ac:dyDescent="0.2">
      <c r="A1175" s="43"/>
      <c r="B1175" s="42" t="str">
        <f>IFERROR(AVERAGE(Data!B1177), "  ")</f>
        <v xml:space="preserve">  </v>
      </c>
      <c r="C1175" s="42" t="str">
        <f>IFERROR(AVERAGE(Data!C1177), "  ")</f>
        <v xml:space="preserve">  </v>
      </c>
      <c r="D1175" s="42" t="str">
        <f>IFERROR(AVERAGE(Data!D1177), "  ")</f>
        <v xml:space="preserve">  </v>
      </c>
      <c r="E1175" s="42" t="str">
        <f>IFERROR(AVERAGE(Data!E1177), "  ")</f>
        <v xml:space="preserve">  </v>
      </c>
      <c r="F1175" s="42" t="str">
        <f>IFERROR(AVERAGE(Data!F1177), "  ")</f>
        <v xml:space="preserve">  </v>
      </c>
      <c r="G1175" s="42" t="str">
        <f>IFERROR(AVERAGE(Data!G1177), "  ")</f>
        <v xml:space="preserve">  </v>
      </c>
      <c r="H1175" s="44" t="str">
        <f>IFERROR(AVERAGE(Data!H1177), "  ")</f>
        <v xml:space="preserve">  </v>
      </c>
      <c r="I1175" s="44" t="str">
        <f>IFERROR(AVERAGE(Data!I1177), "  ")</f>
        <v xml:space="preserve">  </v>
      </c>
      <c r="J1175" s="42" t="str">
        <f>IFERROR(AVERAGE(Data!J1177), "  ")</f>
        <v xml:space="preserve">  </v>
      </c>
      <c r="K1175" s="44" t="str">
        <f>IFERROR(AVERAGE(Data!K1177), "  ")</f>
        <v xml:space="preserve">  </v>
      </c>
      <c r="L1175" s="45" t="str">
        <f>IFERROR(AVERAGE(Data!L1177), "  ")</f>
        <v xml:space="preserve">  </v>
      </c>
    </row>
    <row r="1176" spans="1:12" x14ac:dyDescent="0.2">
      <c r="A1176" s="43"/>
      <c r="B1176" s="42" t="str">
        <f>IFERROR(AVERAGE(Data!B1178), "  ")</f>
        <v xml:space="preserve">  </v>
      </c>
      <c r="C1176" s="42" t="str">
        <f>IFERROR(AVERAGE(Data!C1178), "  ")</f>
        <v xml:space="preserve">  </v>
      </c>
      <c r="D1176" s="42" t="str">
        <f>IFERROR(AVERAGE(Data!D1178), "  ")</f>
        <v xml:space="preserve">  </v>
      </c>
      <c r="E1176" s="42" t="str">
        <f>IFERROR(AVERAGE(Data!E1178), "  ")</f>
        <v xml:space="preserve">  </v>
      </c>
      <c r="F1176" s="42" t="str">
        <f>IFERROR(AVERAGE(Data!F1178), "  ")</f>
        <v xml:space="preserve">  </v>
      </c>
      <c r="G1176" s="42" t="str">
        <f>IFERROR(AVERAGE(Data!G1178), "  ")</f>
        <v xml:space="preserve">  </v>
      </c>
      <c r="H1176" s="44" t="str">
        <f>IFERROR(AVERAGE(Data!H1178), "  ")</f>
        <v xml:space="preserve">  </v>
      </c>
      <c r="I1176" s="44" t="str">
        <f>IFERROR(AVERAGE(Data!I1178), "  ")</f>
        <v xml:space="preserve">  </v>
      </c>
      <c r="J1176" s="42" t="str">
        <f>IFERROR(AVERAGE(Data!J1178), "  ")</f>
        <v xml:space="preserve">  </v>
      </c>
      <c r="K1176" s="44" t="str">
        <f>IFERROR(AVERAGE(Data!K1178), "  ")</f>
        <v xml:space="preserve">  </v>
      </c>
      <c r="L1176" s="45" t="str">
        <f>IFERROR(AVERAGE(Data!L1178), "  ")</f>
        <v xml:space="preserve">  </v>
      </c>
    </row>
    <row r="1177" spans="1:12" x14ac:dyDescent="0.2">
      <c r="A1177" s="43"/>
      <c r="B1177" s="42" t="str">
        <f>IFERROR(AVERAGE(Data!B1179), "  ")</f>
        <v xml:space="preserve">  </v>
      </c>
      <c r="C1177" s="42" t="str">
        <f>IFERROR(AVERAGE(Data!C1179), "  ")</f>
        <v xml:space="preserve">  </v>
      </c>
      <c r="D1177" s="42" t="str">
        <f>IFERROR(AVERAGE(Data!D1179), "  ")</f>
        <v xml:space="preserve">  </v>
      </c>
      <c r="E1177" s="42" t="str">
        <f>IFERROR(AVERAGE(Data!E1179), "  ")</f>
        <v xml:space="preserve">  </v>
      </c>
      <c r="F1177" s="42" t="str">
        <f>IFERROR(AVERAGE(Data!F1179), "  ")</f>
        <v xml:space="preserve">  </v>
      </c>
      <c r="G1177" s="42" t="str">
        <f>IFERROR(AVERAGE(Data!G1179), "  ")</f>
        <v xml:space="preserve">  </v>
      </c>
      <c r="H1177" s="44" t="str">
        <f>IFERROR(AVERAGE(Data!H1179), "  ")</f>
        <v xml:space="preserve">  </v>
      </c>
      <c r="I1177" s="44" t="str">
        <f>IFERROR(AVERAGE(Data!I1179), "  ")</f>
        <v xml:space="preserve">  </v>
      </c>
      <c r="J1177" s="42" t="str">
        <f>IFERROR(AVERAGE(Data!J1179), "  ")</f>
        <v xml:space="preserve">  </v>
      </c>
      <c r="K1177" s="44" t="str">
        <f>IFERROR(AVERAGE(Data!K1179), "  ")</f>
        <v xml:space="preserve">  </v>
      </c>
      <c r="L1177" s="45" t="str">
        <f>IFERROR(AVERAGE(Data!L1179), "  ")</f>
        <v xml:space="preserve">  </v>
      </c>
    </row>
    <row r="1178" spans="1:12" x14ac:dyDescent="0.2">
      <c r="A1178" s="43"/>
      <c r="B1178" s="42" t="str">
        <f>IFERROR(AVERAGE(Data!B1180), "  ")</f>
        <v xml:space="preserve">  </v>
      </c>
      <c r="C1178" s="42" t="str">
        <f>IFERROR(AVERAGE(Data!C1180), "  ")</f>
        <v xml:space="preserve">  </v>
      </c>
      <c r="D1178" s="42" t="str">
        <f>IFERROR(AVERAGE(Data!D1180), "  ")</f>
        <v xml:space="preserve">  </v>
      </c>
      <c r="E1178" s="42" t="str">
        <f>IFERROR(AVERAGE(Data!E1180), "  ")</f>
        <v xml:space="preserve">  </v>
      </c>
      <c r="F1178" s="42" t="str">
        <f>IFERROR(AVERAGE(Data!F1180), "  ")</f>
        <v xml:space="preserve">  </v>
      </c>
      <c r="G1178" s="42" t="str">
        <f>IFERROR(AVERAGE(Data!G1180), "  ")</f>
        <v xml:space="preserve">  </v>
      </c>
      <c r="H1178" s="44" t="str">
        <f>IFERROR(AVERAGE(Data!H1180), "  ")</f>
        <v xml:space="preserve">  </v>
      </c>
      <c r="I1178" s="44" t="str">
        <f>IFERROR(AVERAGE(Data!I1180), "  ")</f>
        <v xml:space="preserve">  </v>
      </c>
      <c r="J1178" s="42" t="str">
        <f>IFERROR(AVERAGE(Data!J1180), "  ")</f>
        <v xml:space="preserve">  </v>
      </c>
      <c r="K1178" s="44" t="str">
        <f>IFERROR(AVERAGE(Data!K1180), "  ")</f>
        <v xml:space="preserve">  </v>
      </c>
      <c r="L1178" s="45" t="str">
        <f>IFERROR(AVERAGE(Data!L1180), "  ")</f>
        <v xml:space="preserve">  </v>
      </c>
    </row>
    <row r="1179" spans="1:12" x14ac:dyDescent="0.2">
      <c r="A1179" s="43"/>
      <c r="B1179" s="42" t="str">
        <f>IFERROR(AVERAGE(Data!B1181), "  ")</f>
        <v xml:space="preserve">  </v>
      </c>
      <c r="C1179" s="42" t="str">
        <f>IFERROR(AVERAGE(Data!C1181), "  ")</f>
        <v xml:space="preserve">  </v>
      </c>
      <c r="D1179" s="42" t="str">
        <f>IFERROR(AVERAGE(Data!D1181), "  ")</f>
        <v xml:space="preserve">  </v>
      </c>
      <c r="E1179" s="42" t="str">
        <f>IFERROR(AVERAGE(Data!E1181), "  ")</f>
        <v xml:space="preserve">  </v>
      </c>
      <c r="F1179" s="42" t="str">
        <f>IFERROR(AVERAGE(Data!F1181), "  ")</f>
        <v xml:space="preserve">  </v>
      </c>
      <c r="G1179" s="42" t="str">
        <f>IFERROR(AVERAGE(Data!G1181), "  ")</f>
        <v xml:space="preserve">  </v>
      </c>
      <c r="H1179" s="44" t="str">
        <f>IFERROR(AVERAGE(Data!H1181), "  ")</f>
        <v xml:space="preserve">  </v>
      </c>
      <c r="I1179" s="44" t="str">
        <f>IFERROR(AVERAGE(Data!I1181), "  ")</f>
        <v xml:space="preserve">  </v>
      </c>
      <c r="J1179" s="42" t="str">
        <f>IFERROR(AVERAGE(Data!J1181), "  ")</f>
        <v xml:space="preserve">  </v>
      </c>
      <c r="K1179" s="44" t="str">
        <f>IFERROR(AVERAGE(Data!K1181), "  ")</f>
        <v xml:space="preserve">  </v>
      </c>
      <c r="L1179" s="45" t="str">
        <f>IFERROR(AVERAGE(Data!L1181), "  ")</f>
        <v xml:space="preserve">  </v>
      </c>
    </row>
    <row r="1180" spans="1:12" x14ac:dyDescent="0.2">
      <c r="A1180" s="43"/>
      <c r="B1180" s="42" t="str">
        <f>IFERROR(AVERAGE(Data!B1182), "  ")</f>
        <v xml:space="preserve">  </v>
      </c>
      <c r="C1180" s="42" t="str">
        <f>IFERROR(AVERAGE(Data!C1182), "  ")</f>
        <v xml:space="preserve">  </v>
      </c>
      <c r="D1180" s="42" t="str">
        <f>IFERROR(AVERAGE(Data!D1182), "  ")</f>
        <v xml:space="preserve">  </v>
      </c>
      <c r="E1180" s="42" t="str">
        <f>IFERROR(AVERAGE(Data!E1182), "  ")</f>
        <v xml:space="preserve">  </v>
      </c>
      <c r="F1180" s="42" t="str">
        <f>IFERROR(AVERAGE(Data!F1182), "  ")</f>
        <v xml:space="preserve">  </v>
      </c>
      <c r="G1180" s="42" t="str">
        <f>IFERROR(AVERAGE(Data!G1182), "  ")</f>
        <v xml:space="preserve">  </v>
      </c>
      <c r="H1180" s="44" t="str">
        <f>IFERROR(AVERAGE(Data!H1182), "  ")</f>
        <v xml:space="preserve">  </v>
      </c>
      <c r="I1180" s="44" t="str">
        <f>IFERROR(AVERAGE(Data!I1182), "  ")</f>
        <v xml:space="preserve">  </v>
      </c>
      <c r="J1180" s="42" t="str">
        <f>IFERROR(AVERAGE(Data!J1182), "  ")</f>
        <v xml:space="preserve">  </v>
      </c>
      <c r="K1180" s="44" t="str">
        <f>IFERROR(AVERAGE(Data!K1182), "  ")</f>
        <v xml:space="preserve">  </v>
      </c>
      <c r="L1180" s="45" t="str">
        <f>IFERROR(AVERAGE(Data!L1182), "  ")</f>
        <v xml:space="preserve">  </v>
      </c>
    </row>
    <row r="1181" spans="1:12" x14ac:dyDescent="0.2">
      <c r="A1181" s="43"/>
      <c r="B1181" s="42" t="str">
        <f>IFERROR(AVERAGE(Data!B1183), "  ")</f>
        <v xml:space="preserve">  </v>
      </c>
      <c r="C1181" s="42" t="str">
        <f>IFERROR(AVERAGE(Data!C1183), "  ")</f>
        <v xml:space="preserve">  </v>
      </c>
      <c r="D1181" s="42" t="str">
        <f>IFERROR(AVERAGE(Data!D1183), "  ")</f>
        <v xml:space="preserve">  </v>
      </c>
      <c r="E1181" s="42" t="str">
        <f>IFERROR(AVERAGE(Data!E1183), "  ")</f>
        <v xml:space="preserve">  </v>
      </c>
      <c r="F1181" s="42" t="str">
        <f>IFERROR(AVERAGE(Data!F1183), "  ")</f>
        <v xml:space="preserve">  </v>
      </c>
      <c r="G1181" s="42" t="str">
        <f>IFERROR(AVERAGE(Data!G1183), "  ")</f>
        <v xml:space="preserve">  </v>
      </c>
      <c r="H1181" s="44" t="str">
        <f>IFERROR(AVERAGE(Data!H1183), "  ")</f>
        <v xml:space="preserve">  </v>
      </c>
      <c r="I1181" s="44" t="str">
        <f>IFERROR(AVERAGE(Data!I1183), "  ")</f>
        <v xml:space="preserve">  </v>
      </c>
      <c r="J1181" s="42" t="str">
        <f>IFERROR(AVERAGE(Data!J1183), "  ")</f>
        <v xml:space="preserve">  </v>
      </c>
      <c r="K1181" s="44" t="str">
        <f>IFERROR(AVERAGE(Data!K1183), "  ")</f>
        <v xml:space="preserve">  </v>
      </c>
      <c r="L1181" s="45" t="str">
        <f>IFERROR(AVERAGE(Data!L1183), "  ")</f>
        <v xml:space="preserve">  </v>
      </c>
    </row>
    <row r="1182" spans="1:12" x14ac:dyDescent="0.2">
      <c r="A1182" s="43"/>
      <c r="B1182" s="42" t="str">
        <f>IFERROR(AVERAGE(Data!B1184), "  ")</f>
        <v xml:space="preserve">  </v>
      </c>
      <c r="C1182" s="42" t="str">
        <f>IFERROR(AVERAGE(Data!C1184), "  ")</f>
        <v xml:space="preserve">  </v>
      </c>
      <c r="D1182" s="42" t="str">
        <f>IFERROR(AVERAGE(Data!D1184), "  ")</f>
        <v xml:space="preserve">  </v>
      </c>
      <c r="E1182" s="42" t="str">
        <f>IFERROR(AVERAGE(Data!E1184), "  ")</f>
        <v xml:space="preserve">  </v>
      </c>
      <c r="F1182" s="42" t="str">
        <f>IFERROR(AVERAGE(Data!F1184), "  ")</f>
        <v xml:space="preserve">  </v>
      </c>
      <c r="G1182" s="42" t="str">
        <f>IFERROR(AVERAGE(Data!G1184), "  ")</f>
        <v xml:space="preserve">  </v>
      </c>
      <c r="H1182" s="44" t="str">
        <f>IFERROR(AVERAGE(Data!H1184), "  ")</f>
        <v xml:space="preserve">  </v>
      </c>
      <c r="I1182" s="44" t="str">
        <f>IFERROR(AVERAGE(Data!I1184), "  ")</f>
        <v xml:space="preserve">  </v>
      </c>
      <c r="J1182" s="42" t="str">
        <f>IFERROR(AVERAGE(Data!J1184), "  ")</f>
        <v xml:space="preserve">  </v>
      </c>
      <c r="K1182" s="44" t="str">
        <f>IFERROR(AVERAGE(Data!K1184), "  ")</f>
        <v xml:space="preserve">  </v>
      </c>
      <c r="L1182" s="45" t="str">
        <f>IFERROR(AVERAGE(Data!L1184), "  ")</f>
        <v xml:space="preserve">  </v>
      </c>
    </row>
    <row r="1183" spans="1:12" x14ac:dyDescent="0.2">
      <c r="A1183" s="43"/>
      <c r="B1183" s="42" t="str">
        <f>IFERROR(AVERAGE(Data!B1185), "  ")</f>
        <v xml:space="preserve">  </v>
      </c>
      <c r="C1183" s="42" t="str">
        <f>IFERROR(AVERAGE(Data!C1185), "  ")</f>
        <v xml:space="preserve">  </v>
      </c>
      <c r="D1183" s="42" t="str">
        <f>IFERROR(AVERAGE(Data!D1185), "  ")</f>
        <v xml:space="preserve">  </v>
      </c>
      <c r="E1183" s="42" t="str">
        <f>IFERROR(AVERAGE(Data!E1185), "  ")</f>
        <v xml:space="preserve">  </v>
      </c>
      <c r="F1183" s="42" t="str">
        <f>IFERROR(AVERAGE(Data!F1185), "  ")</f>
        <v xml:space="preserve">  </v>
      </c>
      <c r="G1183" s="42" t="str">
        <f>IFERROR(AVERAGE(Data!G1185), "  ")</f>
        <v xml:space="preserve">  </v>
      </c>
      <c r="H1183" s="44" t="str">
        <f>IFERROR(AVERAGE(Data!H1185), "  ")</f>
        <v xml:space="preserve">  </v>
      </c>
      <c r="I1183" s="44" t="str">
        <f>IFERROR(AVERAGE(Data!I1185), "  ")</f>
        <v xml:space="preserve">  </v>
      </c>
      <c r="J1183" s="42" t="str">
        <f>IFERROR(AVERAGE(Data!J1185), "  ")</f>
        <v xml:space="preserve">  </v>
      </c>
      <c r="K1183" s="44" t="str">
        <f>IFERROR(AVERAGE(Data!K1185), "  ")</f>
        <v xml:space="preserve">  </v>
      </c>
      <c r="L1183" s="45" t="str">
        <f>IFERROR(AVERAGE(Data!L1185), "  ")</f>
        <v xml:space="preserve">  </v>
      </c>
    </row>
    <row r="1184" spans="1:12" x14ac:dyDescent="0.2">
      <c r="A1184" s="43"/>
      <c r="B1184" s="42" t="str">
        <f>IFERROR(AVERAGE(Data!B1186), "  ")</f>
        <v xml:space="preserve">  </v>
      </c>
      <c r="C1184" s="42" t="str">
        <f>IFERROR(AVERAGE(Data!C1186), "  ")</f>
        <v xml:space="preserve">  </v>
      </c>
      <c r="D1184" s="42" t="str">
        <f>IFERROR(AVERAGE(Data!D1186), "  ")</f>
        <v xml:space="preserve">  </v>
      </c>
      <c r="E1184" s="42" t="str">
        <f>IFERROR(AVERAGE(Data!E1186), "  ")</f>
        <v xml:space="preserve">  </v>
      </c>
      <c r="F1184" s="42" t="str">
        <f>IFERROR(AVERAGE(Data!F1186), "  ")</f>
        <v xml:space="preserve">  </v>
      </c>
      <c r="G1184" s="42" t="str">
        <f>IFERROR(AVERAGE(Data!G1186), "  ")</f>
        <v xml:space="preserve">  </v>
      </c>
      <c r="H1184" s="44" t="str">
        <f>IFERROR(AVERAGE(Data!H1186), "  ")</f>
        <v xml:space="preserve">  </v>
      </c>
      <c r="I1184" s="44" t="str">
        <f>IFERROR(AVERAGE(Data!I1186), "  ")</f>
        <v xml:space="preserve">  </v>
      </c>
      <c r="J1184" s="42" t="str">
        <f>IFERROR(AVERAGE(Data!J1186), "  ")</f>
        <v xml:space="preserve">  </v>
      </c>
      <c r="K1184" s="44" t="str">
        <f>IFERROR(AVERAGE(Data!K1186), "  ")</f>
        <v xml:space="preserve">  </v>
      </c>
      <c r="L1184" s="45" t="str">
        <f>IFERROR(AVERAGE(Data!L1186), "  ")</f>
        <v xml:space="preserve">  </v>
      </c>
    </row>
    <row r="1185" spans="1:12" x14ac:dyDescent="0.2">
      <c r="A1185" s="43"/>
      <c r="B1185" s="42" t="str">
        <f>IFERROR(AVERAGE(Data!B1187), "  ")</f>
        <v xml:space="preserve">  </v>
      </c>
      <c r="C1185" s="42" t="str">
        <f>IFERROR(AVERAGE(Data!C1187), "  ")</f>
        <v xml:space="preserve">  </v>
      </c>
      <c r="D1185" s="42" t="str">
        <f>IFERROR(AVERAGE(Data!D1187), "  ")</f>
        <v xml:space="preserve">  </v>
      </c>
      <c r="E1185" s="42" t="str">
        <f>IFERROR(AVERAGE(Data!E1187), "  ")</f>
        <v xml:space="preserve">  </v>
      </c>
      <c r="F1185" s="42" t="str">
        <f>IFERROR(AVERAGE(Data!F1187), "  ")</f>
        <v xml:space="preserve">  </v>
      </c>
      <c r="G1185" s="42" t="str">
        <f>IFERROR(AVERAGE(Data!G1187), "  ")</f>
        <v xml:space="preserve">  </v>
      </c>
      <c r="H1185" s="44" t="str">
        <f>IFERROR(AVERAGE(Data!H1187), "  ")</f>
        <v xml:space="preserve">  </v>
      </c>
      <c r="I1185" s="44" t="str">
        <f>IFERROR(AVERAGE(Data!I1187), "  ")</f>
        <v xml:space="preserve">  </v>
      </c>
      <c r="J1185" s="42" t="str">
        <f>IFERROR(AVERAGE(Data!J1187), "  ")</f>
        <v xml:space="preserve">  </v>
      </c>
      <c r="K1185" s="44" t="str">
        <f>IFERROR(AVERAGE(Data!K1187), "  ")</f>
        <v xml:space="preserve">  </v>
      </c>
      <c r="L1185" s="45" t="str">
        <f>IFERROR(AVERAGE(Data!L1187), "  ")</f>
        <v xml:space="preserve">  </v>
      </c>
    </row>
    <row r="1186" spans="1:12" x14ac:dyDescent="0.2">
      <c r="A1186" s="43"/>
      <c r="B1186" s="42" t="str">
        <f>IFERROR(AVERAGE(Data!B1188), "  ")</f>
        <v xml:space="preserve">  </v>
      </c>
      <c r="C1186" s="42" t="str">
        <f>IFERROR(AVERAGE(Data!C1188), "  ")</f>
        <v xml:space="preserve">  </v>
      </c>
      <c r="D1186" s="42" t="str">
        <f>IFERROR(AVERAGE(Data!D1188), "  ")</f>
        <v xml:space="preserve">  </v>
      </c>
      <c r="E1186" s="42" t="str">
        <f>IFERROR(AVERAGE(Data!E1188), "  ")</f>
        <v xml:space="preserve">  </v>
      </c>
      <c r="F1186" s="42" t="str">
        <f>IFERROR(AVERAGE(Data!F1188), "  ")</f>
        <v xml:space="preserve">  </v>
      </c>
      <c r="G1186" s="42" t="str">
        <f>IFERROR(AVERAGE(Data!G1188), "  ")</f>
        <v xml:space="preserve">  </v>
      </c>
      <c r="H1186" s="44" t="str">
        <f>IFERROR(AVERAGE(Data!H1188), "  ")</f>
        <v xml:space="preserve">  </v>
      </c>
      <c r="I1186" s="44" t="str">
        <f>IFERROR(AVERAGE(Data!I1188), "  ")</f>
        <v xml:space="preserve">  </v>
      </c>
      <c r="J1186" s="42" t="str">
        <f>IFERROR(AVERAGE(Data!J1188), "  ")</f>
        <v xml:space="preserve">  </v>
      </c>
      <c r="K1186" s="44" t="str">
        <f>IFERROR(AVERAGE(Data!K1188), "  ")</f>
        <v xml:space="preserve">  </v>
      </c>
      <c r="L1186" s="45" t="str">
        <f>IFERROR(AVERAGE(Data!L1188), "  ")</f>
        <v xml:space="preserve">  </v>
      </c>
    </row>
    <row r="1187" spans="1:12" x14ac:dyDescent="0.2">
      <c r="A1187" s="43"/>
      <c r="B1187" s="42" t="str">
        <f>IFERROR(AVERAGE(Data!B1189), "  ")</f>
        <v xml:space="preserve">  </v>
      </c>
      <c r="C1187" s="42" t="str">
        <f>IFERROR(AVERAGE(Data!C1189), "  ")</f>
        <v xml:space="preserve">  </v>
      </c>
      <c r="D1187" s="42" t="str">
        <f>IFERROR(AVERAGE(Data!D1189), "  ")</f>
        <v xml:space="preserve">  </v>
      </c>
      <c r="E1187" s="42" t="str">
        <f>IFERROR(AVERAGE(Data!E1189), "  ")</f>
        <v xml:space="preserve">  </v>
      </c>
      <c r="F1187" s="42" t="str">
        <f>IFERROR(AVERAGE(Data!F1189), "  ")</f>
        <v xml:space="preserve">  </v>
      </c>
      <c r="G1187" s="42" t="str">
        <f>IFERROR(AVERAGE(Data!G1189), "  ")</f>
        <v xml:space="preserve">  </v>
      </c>
      <c r="H1187" s="44" t="str">
        <f>IFERROR(AVERAGE(Data!H1189), "  ")</f>
        <v xml:space="preserve">  </v>
      </c>
      <c r="I1187" s="44" t="str">
        <f>IFERROR(AVERAGE(Data!I1189), "  ")</f>
        <v xml:space="preserve">  </v>
      </c>
      <c r="J1187" s="42" t="str">
        <f>IFERROR(AVERAGE(Data!J1189), "  ")</f>
        <v xml:space="preserve">  </v>
      </c>
      <c r="K1187" s="44" t="str">
        <f>IFERROR(AVERAGE(Data!K1189), "  ")</f>
        <v xml:space="preserve">  </v>
      </c>
      <c r="L1187" s="45" t="str">
        <f>IFERROR(AVERAGE(Data!L1189), "  ")</f>
        <v xml:space="preserve">  </v>
      </c>
    </row>
    <row r="1188" spans="1:12" x14ac:dyDescent="0.2">
      <c r="A1188" s="43"/>
      <c r="B1188" s="42" t="str">
        <f>IFERROR(AVERAGE(Data!B1190), "  ")</f>
        <v xml:space="preserve">  </v>
      </c>
      <c r="C1188" s="42" t="str">
        <f>IFERROR(AVERAGE(Data!C1190), "  ")</f>
        <v xml:space="preserve">  </v>
      </c>
      <c r="D1188" s="42" t="str">
        <f>IFERROR(AVERAGE(Data!D1190), "  ")</f>
        <v xml:space="preserve">  </v>
      </c>
      <c r="E1188" s="42" t="str">
        <f>IFERROR(AVERAGE(Data!E1190), "  ")</f>
        <v xml:space="preserve">  </v>
      </c>
      <c r="F1188" s="42" t="str">
        <f>IFERROR(AVERAGE(Data!F1190), "  ")</f>
        <v xml:space="preserve">  </v>
      </c>
      <c r="G1188" s="42" t="str">
        <f>IFERROR(AVERAGE(Data!G1190), "  ")</f>
        <v xml:space="preserve">  </v>
      </c>
      <c r="H1188" s="44" t="str">
        <f>IFERROR(AVERAGE(Data!H1190), "  ")</f>
        <v xml:space="preserve">  </v>
      </c>
      <c r="I1188" s="44" t="str">
        <f>IFERROR(AVERAGE(Data!I1190), "  ")</f>
        <v xml:space="preserve">  </v>
      </c>
      <c r="J1188" s="42" t="str">
        <f>IFERROR(AVERAGE(Data!J1190), "  ")</f>
        <v xml:space="preserve">  </v>
      </c>
      <c r="K1188" s="44" t="str">
        <f>IFERROR(AVERAGE(Data!K1190), "  ")</f>
        <v xml:space="preserve">  </v>
      </c>
      <c r="L1188" s="45" t="str">
        <f>IFERROR(AVERAGE(Data!L1190), "  ")</f>
        <v xml:space="preserve">  </v>
      </c>
    </row>
    <row r="1189" spans="1:12" x14ac:dyDescent="0.2">
      <c r="A1189" s="43"/>
      <c r="B1189" s="42" t="str">
        <f>IFERROR(AVERAGE(Data!B1191), "  ")</f>
        <v xml:space="preserve">  </v>
      </c>
      <c r="C1189" s="42" t="str">
        <f>IFERROR(AVERAGE(Data!C1191), "  ")</f>
        <v xml:space="preserve">  </v>
      </c>
      <c r="D1189" s="42" t="str">
        <f>IFERROR(AVERAGE(Data!D1191), "  ")</f>
        <v xml:space="preserve">  </v>
      </c>
      <c r="E1189" s="42" t="str">
        <f>IFERROR(AVERAGE(Data!E1191), "  ")</f>
        <v xml:space="preserve">  </v>
      </c>
      <c r="F1189" s="42" t="str">
        <f>IFERROR(AVERAGE(Data!F1191), "  ")</f>
        <v xml:space="preserve">  </v>
      </c>
      <c r="G1189" s="42" t="str">
        <f>IFERROR(AVERAGE(Data!G1191), "  ")</f>
        <v xml:space="preserve">  </v>
      </c>
      <c r="H1189" s="44" t="str">
        <f>IFERROR(AVERAGE(Data!H1191), "  ")</f>
        <v xml:space="preserve">  </v>
      </c>
      <c r="I1189" s="44" t="str">
        <f>IFERROR(AVERAGE(Data!I1191), "  ")</f>
        <v xml:space="preserve">  </v>
      </c>
      <c r="J1189" s="42" t="str">
        <f>IFERROR(AVERAGE(Data!J1191), "  ")</f>
        <v xml:space="preserve">  </v>
      </c>
      <c r="K1189" s="44" t="str">
        <f>IFERROR(AVERAGE(Data!K1191), "  ")</f>
        <v xml:space="preserve">  </v>
      </c>
      <c r="L1189" s="45" t="str">
        <f>IFERROR(AVERAGE(Data!L1191), "  ")</f>
        <v xml:space="preserve">  </v>
      </c>
    </row>
    <row r="1190" spans="1:12" x14ac:dyDescent="0.2">
      <c r="A1190" s="43"/>
      <c r="B1190" s="42" t="str">
        <f>IFERROR(AVERAGE(Data!B1192), "  ")</f>
        <v xml:space="preserve">  </v>
      </c>
      <c r="C1190" s="42" t="str">
        <f>IFERROR(AVERAGE(Data!C1192), "  ")</f>
        <v xml:space="preserve">  </v>
      </c>
      <c r="D1190" s="42" t="str">
        <f>IFERROR(AVERAGE(Data!D1192), "  ")</f>
        <v xml:space="preserve">  </v>
      </c>
      <c r="E1190" s="42" t="str">
        <f>IFERROR(AVERAGE(Data!E1192), "  ")</f>
        <v xml:space="preserve">  </v>
      </c>
      <c r="F1190" s="42" t="str">
        <f>IFERROR(AVERAGE(Data!F1192), "  ")</f>
        <v xml:space="preserve">  </v>
      </c>
      <c r="G1190" s="42" t="str">
        <f>IFERROR(AVERAGE(Data!G1192), "  ")</f>
        <v xml:space="preserve">  </v>
      </c>
      <c r="H1190" s="44" t="str">
        <f>IFERROR(AVERAGE(Data!H1192), "  ")</f>
        <v xml:space="preserve">  </v>
      </c>
      <c r="I1190" s="44" t="str">
        <f>IFERROR(AVERAGE(Data!I1192), "  ")</f>
        <v xml:space="preserve">  </v>
      </c>
      <c r="J1190" s="42" t="str">
        <f>IFERROR(AVERAGE(Data!J1192), "  ")</f>
        <v xml:space="preserve">  </v>
      </c>
      <c r="K1190" s="44" t="str">
        <f>IFERROR(AVERAGE(Data!K1192), "  ")</f>
        <v xml:space="preserve">  </v>
      </c>
      <c r="L1190" s="45" t="str">
        <f>IFERROR(AVERAGE(Data!L1192), "  ")</f>
        <v xml:space="preserve">  </v>
      </c>
    </row>
    <row r="1191" spans="1:12" x14ac:dyDescent="0.2">
      <c r="A1191" s="43"/>
      <c r="B1191" s="42" t="str">
        <f>IFERROR(AVERAGE(Data!B1193), "  ")</f>
        <v xml:space="preserve">  </v>
      </c>
      <c r="C1191" s="42" t="str">
        <f>IFERROR(AVERAGE(Data!C1193), "  ")</f>
        <v xml:space="preserve">  </v>
      </c>
      <c r="D1191" s="42" t="str">
        <f>IFERROR(AVERAGE(Data!D1193), "  ")</f>
        <v xml:space="preserve">  </v>
      </c>
      <c r="E1191" s="42" t="str">
        <f>IFERROR(AVERAGE(Data!E1193), "  ")</f>
        <v xml:space="preserve">  </v>
      </c>
      <c r="F1191" s="42" t="str">
        <f>IFERROR(AVERAGE(Data!F1193), "  ")</f>
        <v xml:space="preserve">  </v>
      </c>
      <c r="G1191" s="42" t="str">
        <f>IFERROR(AVERAGE(Data!G1193), "  ")</f>
        <v xml:space="preserve">  </v>
      </c>
      <c r="H1191" s="44" t="str">
        <f>IFERROR(AVERAGE(Data!H1193), "  ")</f>
        <v xml:space="preserve">  </v>
      </c>
      <c r="I1191" s="44" t="str">
        <f>IFERROR(AVERAGE(Data!I1193), "  ")</f>
        <v xml:space="preserve">  </v>
      </c>
      <c r="J1191" s="42" t="str">
        <f>IFERROR(AVERAGE(Data!J1193), "  ")</f>
        <v xml:space="preserve">  </v>
      </c>
      <c r="K1191" s="44" t="str">
        <f>IFERROR(AVERAGE(Data!K1193), "  ")</f>
        <v xml:space="preserve">  </v>
      </c>
      <c r="L1191" s="45" t="str">
        <f>IFERROR(AVERAGE(Data!L1193), "  ")</f>
        <v xml:space="preserve">  </v>
      </c>
    </row>
    <row r="1192" spans="1:12" x14ac:dyDescent="0.2">
      <c r="A1192" s="43"/>
      <c r="B1192" s="42" t="str">
        <f>IFERROR(AVERAGE(Data!B1194), "  ")</f>
        <v xml:space="preserve">  </v>
      </c>
      <c r="C1192" s="42" t="str">
        <f>IFERROR(AVERAGE(Data!C1194), "  ")</f>
        <v xml:space="preserve">  </v>
      </c>
      <c r="D1192" s="42" t="str">
        <f>IFERROR(AVERAGE(Data!D1194), "  ")</f>
        <v xml:space="preserve">  </v>
      </c>
      <c r="E1192" s="42" t="str">
        <f>IFERROR(AVERAGE(Data!E1194), "  ")</f>
        <v xml:space="preserve">  </v>
      </c>
      <c r="F1192" s="42" t="str">
        <f>IFERROR(AVERAGE(Data!F1194), "  ")</f>
        <v xml:space="preserve">  </v>
      </c>
      <c r="G1192" s="42" t="str">
        <f>IFERROR(AVERAGE(Data!G1194), "  ")</f>
        <v xml:space="preserve">  </v>
      </c>
      <c r="H1192" s="44" t="str">
        <f>IFERROR(AVERAGE(Data!H1194), "  ")</f>
        <v xml:space="preserve">  </v>
      </c>
      <c r="I1192" s="44" t="str">
        <f>IFERROR(AVERAGE(Data!I1194), "  ")</f>
        <v xml:space="preserve">  </v>
      </c>
      <c r="J1192" s="42" t="str">
        <f>IFERROR(AVERAGE(Data!J1194), "  ")</f>
        <v xml:space="preserve">  </v>
      </c>
      <c r="K1192" s="44" t="str">
        <f>IFERROR(AVERAGE(Data!K1194), "  ")</f>
        <v xml:space="preserve">  </v>
      </c>
      <c r="L1192" s="45" t="str">
        <f>IFERROR(AVERAGE(Data!L1194), "  ")</f>
        <v xml:space="preserve">  </v>
      </c>
    </row>
    <row r="1193" spans="1:12" x14ac:dyDescent="0.2">
      <c r="A1193" s="43"/>
      <c r="B1193" s="42" t="str">
        <f>IFERROR(AVERAGE(Data!B1195), "  ")</f>
        <v xml:space="preserve">  </v>
      </c>
      <c r="C1193" s="42" t="str">
        <f>IFERROR(AVERAGE(Data!C1195), "  ")</f>
        <v xml:space="preserve">  </v>
      </c>
      <c r="D1193" s="42" t="str">
        <f>IFERROR(AVERAGE(Data!D1195), "  ")</f>
        <v xml:space="preserve">  </v>
      </c>
      <c r="E1193" s="42" t="str">
        <f>IFERROR(AVERAGE(Data!E1195), "  ")</f>
        <v xml:space="preserve">  </v>
      </c>
      <c r="F1193" s="42" t="str">
        <f>IFERROR(AVERAGE(Data!F1195), "  ")</f>
        <v xml:space="preserve">  </v>
      </c>
      <c r="G1193" s="42" t="str">
        <f>IFERROR(AVERAGE(Data!G1195), "  ")</f>
        <v xml:space="preserve">  </v>
      </c>
      <c r="H1193" s="44" t="str">
        <f>IFERROR(AVERAGE(Data!H1195), "  ")</f>
        <v xml:space="preserve">  </v>
      </c>
      <c r="I1193" s="44" t="str">
        <f>IFERROR(AVERAGE(Data!I1195), "  ")</f>
        <v xml:space="preserve">  </v>
      </c>
      <c r="J1193" s="42" t="str">
        <f>IFERROR(AVERAGE(Data!J1195), "  ")</f>
        <v xml:space="preserve">  </v>
      </c>
      <c r="K1193" s="44" t="str">
        <f>IFERROR(AVERAGE(Data!K1195), "  ")</f>
        <v xml:space="preserve">  </v>
      </c>
      <c r="L1193" s="45" t="str">
        <f>IFERROR(AVERAGE(Data!L1195), "  ")</f>
        <v xml:space="preserve">  </v>
      </c>
    </row>
    <row r="1194" spans="1:12" x14ac:dyDescent="0.2">
      <c r="A1194" s="43"/>
      <c r="B1194" s="42" t="str">
        <f>IFERROR(AVERAGE(Data!B1196), "  ")</f>
        <v xml:space="preserve">  </v>
      </c>
      <c r="C1194" s="42" t="str">
        <f>IFERROR(AVERAGE(Data!C1196), "  ")</f>
        <v xml:space="preserve">  </v>
      </c>
      <c r="D1194" s="42" t="str">
        <f>IFERROR(AVERAGE(Data!D1196), "  ")</f>
        <v xml:space="preserve">  </v>
      </c>
      <c r="E1194" s="42" t="str">
        <f>IFERROR(AVERAGE(Data!E1196), "  ")</f>
        <v xml:space="preserve">  </v>
      </c>
      <c r="F1194" s="42" t="str">
        <f>IFERROR(AVERAGE(Data!F1196), "  ")</f>
        <v xml:space="preserve">  </v>
      </c>
      <c r="G1194" s="42" t="str">
        <f>IFERROR(AVERAGE(Data!G1196), "  ")</f>
        <v xml:space="preserve">  </v>
      </c>
      <c r="H1194" s="44" t="str">
        <f>IFERROR(AVERAGE(Data!H1196), "  ")</f>
        <v xml:space="preserve">  </v>
      </c>
      <c r="I1194" s="44" t="str">
        <f>IFERROR(AVERAGE(Data!I1196), "  ")</f>
        <v xml:space="preserve">  </v>
      </c>
      <c r="J1194" s="42" t="str">
        <f>IFERROR(AVERAGE(Data!J1196), "  ")</f>
        <v xml:space="preserve">  </v>
      </c>
      <c r="K1194" s="44" t="str">
        <f>IFERROR(AVERAGE(Data!K1196), "  ")</f>
        <v xml:space="preserve">  </v>
      </c>
      <c r="L1194" s="45" t="str">
        <f>IFERROR(AVERAGE(Data!L1196), "  ")</f>
        <v xml:space="preserve">  </v>
      </c>
    </row>
    <row r="1195" spans="1:12" x14ac:dyDescent="0.2">
      <c r="A1195" s="43"/>
      <c r="B1195" s="42" t="str">
        <f>IFERROR(AVERAGE(Data!B1197), "  ")</f>
        <v xml:space="preserve">  </v>
      </c>
      <c r="C1195" s="42" t="str">
        <f>IFERROR(AVERAGE(Data!C1197), "  ")</f>
        <v xml:space="preserve">  </v>
      </c>
      <c r="D1195" s="42" t="str">
        <f>IFERROR(AVERAGE(Data!D1197), "  ")</f>
        <v xml:space="preserve">  </v>
      </c>
      <c r="E1195" s="42" t="str">
        <f>IFERROR(AVERAGE(Data!E1197), "  ")</f>
        <v xml:space="preserve">  </v>
      </c>
      <c r="F1195" s="42" t="str">
        <f>IFERROR(AVERAGE(Data!F1197), "  ")</f>
        <v xml:space="preserve">  </v>
      </c>
      <c r="G1195" s="42" t="str">
        <f>IFERROR(AVERAGE(Data!G1197), "  ")</f>
        <v xml:space="preserve">  </v>
      </c>
      <c r="H1195" s="44" t="str">
        <f>IFERROR(AVERAGE(Data!H1197), "  ")</f>
        <v xml:space="preserve">  </v>
      </c>
      <c r="I1195" s="44" t="str">
        <f>IFERROR(AVERAGE(Data!I1197), "  ")</f>
        <v xml:space="preserve">  </v>
      </c>
      <c r="J1195" s="42" t="str">
        <f>IFERROR(AVERAGE(Data!J1197), "  ")</f>
        <v xml:space="preserve">  </v>
      </c>
      <c r="K1195" s="44" t="str">
        <f>IFERROR(AVERAGE(Data!K1197), "  ")</f>
        <v xml:space="preserve">  </v>
      </c>
      <c r="L1195" s="45" t="str">
        <f>IFERROR(AVERAGE(Data!L1197), "  ")</f>
        <v xml:space="preserve">  </v>
      </c>
    </row>
    <row r="1196" spans="1:12" x14ac:dyDescent="0.2">
      <c r="A1196" s="43"/>
      <c r="B1196" s="42" t="str">
        <f>IFERROR(AVERAGE(Data!B1198), "  ")</f>
        <v xml:space="preserve">  </v>
      </c>
      <c r="C1196" s="42" t="str">
        <f>IFERROR(AVERAGE(Data!C1198), "  ")</f>
        <v xml:space="preserve">  </v>
      </c>
      <c r="D1196" s="42" t="str">
        <f>IFERROR(AVERAGE(Data!D1198), "  ")</f>
        <v xml:space="preserve">  </v>
      </c>
      <c r="E1196" s="42" t="str">
        <f>IFERROR(AVERAGE(Data!E1198), "  ")</f>
        <v xml:space="preserve">  </v>
      </c>
      <c r="F1196" s="42" t="str">
        <f>IFERROR(AVERAGE(Data!F1198), "  ")</f>
        <v xml:space="preserve">  </v>
      </c>
      <c r="G1196" s="42" t="str">
        <f>IFERROR(AVERAGE(Data!G1198), "  ")</f>
        <v xml:space="preserve">  </v>
      </c>
      <c r="H1196" s="44" t="str">
        <f>IFERROR(AVERAGE(Data!H1198), "  ")</f>
        <v xml:space="preserve">  </v>
      </c>
      <c r="I1196" s="44" t="str">
        <f>IFERROR(AVERAGE(Data!I1198), "  ")</f>
        <v xml:space="preserve">  </v>
      </c>
      <c r="J1196" s="42" t="str">
        <f>IFERROR(AVERAGE(Data!J1198), "  ")</f>
        <v xml:space="preserve">  </v>
      </c>
      <c r="K1196" s="44" t="str">
        <f>IFERROR(AVERAGE(Data!K1198), "  ")</f>
        <v xml:space="preserve">  </v>
      </c>
      <c r="L1196" s="45" t="str">
        <f>IFERROR(AVERAGE(Data!L1198), "  ")</f>
        <v xml:space="preserve">  </v>
      </c>
    </row>
    <row r="1197" spans="1:12" x14ac:dyDescent="0.2">
      <c r="A1197" s="43"/>
      <c r="B1197" s="42" t="str">
        <f>IFERROR(AVERAGE(Data!B1199), "  ")</f>
        <v xml:space="preserve">  </v>
      </c>
      <c r="C1197" s="42" t="str">
        <f>IFERROR(AVERAGE(Data!C1199), "  ")</f>
        <v xml:space="preserve">  </v>
      </c>
      <c r="D1197" s="42" t="str">
        <f>IFERROR(AVERAGE(Data!D1199), "  ")</f>
        <v xml:space="preserve">  </v>
      </c>
      <c r="E1197" s="42" t="str">
        <f>IFERROR(AVERAGE(Data!E1199), "  ")</f>
        <v xml:space="preserve">  </v>
      </c>
      <c r="F1197" s="42" t="str">
        <f>IFERROR(AVERAGE(Data!F1199), "  ")</f>
        <v xml:space="preserve">  </v>
      </c>
      <c r="G1197" s="42" t="str">
        <f>IFERROR(AVERAGE(Data!G1199), "  ")</f>
        <v xml:space="preserve">  </v>
      </c>
      <c r="H1197" s="44" t="str">
        <f>IFERROR(AVERAGE(Data!H1199), "  ")</f>
        <v xml:space="preserve">  </v>
      </c>
      <c r="I1197" s="44" t="str">
        <f>IFERROR(AVERAGE(Data!I1199), "  ")</f>
        <v xml:space="preserve">  </v>
      </c>
      <c r="J1197" s="42" t="str">
        <f>IFERROR(AVERAGE(Data!J1199), "  ")</f>
        <v xml:space="preserve">  </v>
      </c>
      <c r="K1197" s="44" t="str">
        <f>IFERROR(AVERAGE(Data!K1199), "  ")</f>
        <v xml:space="preserve">  </v>
      </c>
      <c r="L1197" s="45" t="str">
        <f>IFERROR(AVERAGE(Data!L1199), "  ")</f>
        <v xml:space="preserve">  </v>
      </c>
    </row>
    <row r="1198" spans="1:12" x14ac:dyDescent="0.2">
      <c r="A1198" s="43"/>
      <c r="B1198" s="42" t="str">
        <f>IFERROR(AVERAGE(Data!B1200), "  ")</f>
        <v xml:space="preserve">  </v>
      </c>
      <c r="C1198" s="42" t="str">
        <f>IFERROR(AVERAGE(Data!C1200), "  ")</f>
        <v xml:space="preserve">  </v>
      </c>
      <c r="D1198" s="42" t="str">
        <f>IFERROR(AVERAGE(Data!D1200), "  ")</f>
        <v xml:space="preserve">  </v>
      </c>
      <c r="E1198" s="42" t="str">
        <f>IFERROR(AVERAGE(Data!E1200), "  ")</f>
        <v xml:space="preserve">  </v>
      </c>
      <c r="F1198" s="42" t="str">
        <f>IFERROR(AVERAGE(Data!F1200), "  ")</f>
        <v xml:space="preserve">  </v>
      </c>
      <c r="G1198" s="42" t="str">
        <f>IFERROR(AVERAGE(Data!G1200), "  ")</f>
        <v xml:space="preserve">  </v>
      </c>
      <c r="H1198" s="44" t="str">
        <f>IFERROR(AVERAGE(Data!H1200), "  ")</f>
        <v xml:space="preserve">  </v>
      </c>
      <c r="I1198" s="44" t="str">
        <f>IFERROR(AVERAGE(Data!I1200), "  ")</f>
        <v xml:space="preserve">  </v>
      </c>
      <c r="J1198" s="42" t="str">
        <f>IFERROR(AVERAGE(Data!J1200), "  ")</f>
        <v xml:space="preserve">  </v>
      </c>
      <c r="K1198" s="44" t="str">
        <f>IFERROR(AVERAGE(Data!K1200), "  ")</f>
        <v xml:space="preserve">  </v>
      </c>
      <c r="L1198" s="45" t="str">
        <f>IFERROR(AVERAGE(Data!L1200), "  ")</f>
        <v xml:space="preserve">  </v>
      </c>
    </row>
    <row r="1199" spans="1:12" x14ac:dyDescent="0.2">
      <c r="A1199" s="43"/>
      <c r="B1199" s="42" t="str">
        <f>IFERROR(AVERAGE(Data!B1201), "  ")</f>
        <v xml:space="preserve">  </v>
      </c>
      <c r="C1199" s="42" t="str">
        <f>IFERROR(AVERAGE(Data!C1201), "  ")</f>
        <v xml:space="preserve">  </v>
      </c>
      <c r="D1199" s="42" t="str">
        <f>IFERROR(AVERAGE(Data!D1201), "  ")</f>
        <v xml:space="preserve">  </v>
      </c>
      <c r="E1199" s="42" t="str">
        <f>IFERROR(AVERAGE(Data!E1201), "  ")</f>
        <v xml:space="preserve">  </v>
      </c>
      <c r="F1199" s="42" t="str">
        <f>IFERROR(AVERAGE(Data!F1201), "  ")</f>
        <v xml:space="preserve">  </v>
      </c>
      <c r="G1199" s="42" t="str">
        <f>IFERROR(AVERAGE(Data!G1201), "  ")</f>
        <v xml:space="preserve">  </v>
      </c>
      <c r="H1199" s="44" t="str">
        <f>IFERROR(AVERAGE(Data!H1201), "  ")</f>
        <v xml:space="preserve">  </v>
      </c>
      <c r="I1199" s="44" t="str">
        <f>IFERROR(AVERAGE(Data!I1201), "  ")</f>
        <v xml:space="preserve">  </v>
      </c>
      <c r="J1199" s="42" t="str">
        <f>IFERROR(AVERAGE(Data!J1201), "  ")</f>
        <v xml:space="preserve">  </v>
      </c>
      <c r="K1199" s="44" t="str">
        <f>IFERROR(AVERAGE(Data!K1201), "  ")</f>
        <v xml:space="preserve">  </v>
      </c>
      <c r="L1199" s="45" t="str">
        <f>IFERROR(AVERAGE(Data!L1201), "  ")</f>
        <v xml:space="preserve">  </v>
      </c>
    </row>
    <row r="1200" spans="1:12" x14ac:dyDescent="0.2">
      <c r="A1200" s="43"/>
      <c r="B1200" s="42" t="str">
        <f>IFERROR(AVERAGE(Data!B1202), "  ")</f>
        <v xml:space="preserve">  </v>
      </c>
      <c r="C1200" s="42" t="str">
        <f>IFERROR(AVERAGE(Data!C1202), "  ")</f>
        <v xml:space="preserve">  </v>
      </c>
      <c r="D1200" s="42" t="str">
        <f>IFERROR(AVERAGE(Data!D1202), "  ")</f>
        <v xml:space="preserve">  </v>
      </c>
      <c r="E1200" s="42" t="str">
        <f>IFERROR(AVERAGE(Data!E1202), "  ")</f>
        <v xml:space="preserve">  </v>
      </c>
      <c r="F1200" s="42" t="str">
        <f>IFERROR(AVERAGE(Data!F1202), "  ")</f>
        <v xml:space="preserve">  </v>
      </c>
      <c r="G1200" s="42" t="str">
        <f>IFERROR(AVERAGE(Data!G1202), "  ")</f>
        <v xml:space="preserve">  </v>
      </c>
      <c r="H1200" s="44" t="str">
        <f>IFERROR(AVERAGE(Data!H1202), "  ")</f>
        <v xml:space="preserve">  </v>
      </c>
      <c r="I1200" s="44" t="str">
        <f>IFERROR(AVERAGE(Data!I1202), "  ")</f>
        <v xml:space="preserve">  </v>
      </c>
      <c r="J1200" s="42" t="str">
        <f>IFERROR(AVERAGE(Data!J1202), "  ")</f>
        <v xml:space="preserve">  </v>
      </c>
      <c r="K1200" s="44" t="str">
        <f>IFERROR(AVERAGE(Data!K1202), "  ")</f>
        <v xml:space="preserve">  </v>
      </c>
      <c r="L1200" s="45" t="str">
        <f>IFERROR(AVERAGE(Data!L1202), "  ")</f>
        <v xml:space="preserve">  </v>
      </c>
    </row>
    <row r="1201" spans="1:12" x14ac:dyDescent="0.2">
      <c r="A1201" s="43"/>
      <c r="B1201" s="42" t="str">
        <f>IFERROR(AVERAGE(Data!B1203), "  ")</f>
        <v xml:space="preserve">  </v>
      </c>
      <c r="C1201" s="42" t="str">
        <f>IFERROR(AVERAGE(Data!C1203), "  ")</f>
        <v xml:space="preserve">  </v>
      </c>
      <c r="D1201" s="42" t="str">
        <f>IFERROR(AVERAGE(Data!D1203), "  ")</f>
        <v xml:space="preserve">  </v>
      </c>
      <c r="E1201" s="42" t="str">
        <f>IFERROR(AVERAGE(Data!E1203), "  ")</f>
        <v xml:space="preserve">  </v>
      </c>
      <c r="F1201" s="42" t="str">
        <f>IFERROR(AVERAGE(Data!F1203), "  ")</f>
        <v xml:space="preserve">  </v>
      </c>
      <c r="G1201" s="42" t="str">
        <f>IFERROR(AVERAGE(Data!G1203), "  ")</f>
        <v xml:space="preserve">  </v>
      </c>
      <c r="H1201" s="44" t="str">
        <f>IFERROR(AVERAGE(Data!H1203), "  ")</f>
        <v xml:space="preserve">  </v>
      </c>
      <c r="I1201" s="44" t="str">
        <f>IFERROR(AVERAGE(Data!I1203), "  ")</f>
        <v xml:space="preserve">  </v>
      </c>
      <c r="J1201" s="42" t="str">
        <f>IFERROR(AVERAGE(Data!J1203), "  ")</f>
        <v xml:space="preserve">  </v>
      </c>
      <c r="K1201" s="44" t="str">
        <f>IFERROR(AVERAGE(Data!K1203), "  ")</f>
        <v xml:space="preserve">  </v>
      </c>
      <c r="L1201" s="45" t="str">
        <f>IFERROR(AVERAGE(Data!L1203), "  ")</f>
        <v xml:space="preserve">  </v>
      </c>
    </row>
    <row r="1202" spans="1:12" x14ac:dyDescent="0.2">
      <c r="A1202" s="43"/>
      <c r="B1202" s="42" t="str">
        <f>IFERROR(AVERAGE(Data!B1204), "  ")</f>
        <v xml:space="preserve">  </v>
      </c>
      <c r="C1202" s="42" t="str">
        <f>IFERROR(AVERAGE(Data!C1204), "  ")</f>
        <v xml:space="preserve">  </v>
      </c>
      <c r="D1202" s="42" t="str">
        <f>IFERROR(AVERAGE(Data!D1204), "  ")</f>
        <v xml:space="preserve">  </v>
      </c>
      <c r="E1202" s="42" t="str">
        <f>IFERROR(AVERAGE(Data!E1204), "  ")</f>
        <v xml:space="preserve">  </v>
      </c>
      <c r="F1202" s="42" t="str">
        <f>IFERROR(AVERAGE(Data!F1204), "  ")</f>
        <v xml:space="preserve">  </v>
      </c>
      <c r="G1202" s="42" t="str">
        <f>IFERROR(AVERAGE(Data!G1204), "  ")</f>
        <v xml:space="preserve">  </v>
      </c>
      <c r="H1202" s="44" t="str">
        <f>IFERROR(AVERAGE(Data!H1204), "  ")</f>
        <v xml:space="preserve">  </v>
      </c>
      <c r="I1202" s="44" t="str">
        <f>IFERROR(AVERAGE(Data!I1204), "  ")</f>
        <v xml:space="preserve">  </v>
      </c>
      <c r="J1202" s="42" t="str">
        <f>IFERROR(AVERAGE(Data!J1204), "  ")</f>
        <v xml:space="preserve">  </v>
      </c>
      <c r="K1202" s="44" t="str">
        <f>IFERROR(AVERAGE(Data!K1204), "  ")</f>
        <v xml:space="preserve">  </v>
      </c>
      <c r="L1202" s="45" t="str">
        <f>IFERROR(AVERAGE(Data!L1204), "  ")</f>
        <v xml:space="preserve">  </v>
      </c>
    </row>
    <row r="1203" spans="1:12" x14ac:dyDescent="0.2">
      <c r="A1203" s="43"/>
      <c r="B1203" s="42" t="str">
        <f>IFERROR(AVERAGE(Data!B1205), "  ")</f>
        <v xml:space="preserve">  </v>
      </c>
      <c r="C1203" s="42" t="str">
        <f>IFERROR(AVERAGE(Data!C1205), "  ")</f>
        <v xml:space="preserve">  </v>
      </c>
      <c r="D1203" s="42" t="str">
        <f>IFERROR(AVERAGE(Data!D1205), "  ")</f>
        <v xml:space="preserve">  </v>
      </c>
      <c r="E1203" s="42" t="str">
        <f>IFERROR(AVERAGE(Data!E1205), "  ")</f>
        <v xml:space="preserve">  </v>
      </c>
      <c r="F1203" s="42" t="str">
        <f>IFERROR(AVERAGE(Data!F1205), "  ")</f>
        <v xml:space="preserve">  </v>
      </c>
      <c r="G1203" s="42" t="str">
        <f>IFERROR(AVERAGE(Data!G1205), "  ")</f>
        <v xml:space="preserve">  </v>
      </c>
      <c r="H1203" s="44" t="str">
        <f>IFERROR(AVERAGE(Data!H1205), "  ")</f>
        <v xml:space="preserve">  </v>
      </c>
      <c r="I1203" s="44" t="str">
        <f>IFERROR(AVERAGE(Data!I1205), "  ")</f>
        <v xml:space="preserve">  </v>
      </c>
      <c r="J1203" s="42" t="str">
        <f>IFERROR(AVERAGE(Data!J1205), "  ")</f>
        <v xml:space="preserve">  </v>
      </c>
      <c r="K1203" s="44" t="str">
        <f>IFERROR(AVERAGE(Data!K1205), "  ")</f>
        <v xml:space="preserve">  </v>
      </c>
      <c r="L1203" s="45" t="str">
        <f>IFERROR(AVERAGE(Data!L1205), "  ")</f>
        <v xml:space="preserve">  </v>
      </c>
    </row>
    <row r="1204" spans="1:12" x14ac:dyDescent="0.2">
      <c r="A1204" s="43"/>
      <c r="B1204" s="42" t="str">
        <f>IFERROR(AVERAGE(Data!B1206), "  ")</f>
        <v xml:space="preserve">  </v>
      </c>
      <c r="C1204" s="42" t="str">
        <f>IFERROR(AVERAGE(Data!C1206), "  ")</f>
        <v xml:space="preserve">  </v>
      </c>
      <c r="D1204" s="42" t="str">
        <f>IFERROR(AVERAGE(Data!D1206), "  ")</f>
        <v xml:space="preserve">  </v>
      </c>
      <c r="E1204" s="42" t="str">
        <f>IFERROR(AVERAGE(Data!E1206), "  ")</f>
        <v xml:space="preserve">  </v>
      </c>
      <c r="F1204" s="42" t="str">
        <f>IFERROR(AVERAGE(Data!F1206), "  ")</f>
        <v xml:space="preserve">  </v>
      </c>
      <c r="G1204" s="42" t="str">
        <f>IFERROR(AVERAGE(Data!G1206), "  ")</f>
        <v xml:space="preserve">  </v>
      </c>
      <c r="H1204" s="44" t="str">
        <f>IFERROR(AVERAGE(Data!H1206), "  ")</f>
        <v xml:space="preserve">  </v>
      </c>
      <c r="I1204" s="44" t="str">
        <f>IFERROR(AVERAGE(Data!I1206), "  ")</f>
        <v xml:space="preserve">  </v>
      </c>
      <c r="J1204" s="42" t="str">
        <f>IFERROR(AVERAGE(Data!J1206), "  ")</f>
        <v xml:space="preserve">  </v>
      </c>
      <c r="K1204" s="44" t="str">
        <f>IFERROR(AVERAGE(Data!K1206), "  ")</f>
        <v xml:space="preserve">  </v>
      </c>
      <c r="L1204" s="45" t="str">
        <f>IFERROR(AVERAGE(Data!L1206), "  ")</f>
        <v xml:space="preserve">  </v>
      </c>
    </row>
    <row r="1205" spans="1:12" x14ac:dyDescent="0.2">
      <c r="A1205" s="43"/>
      <c r="B1205" s="42" t="str">
        <f>IFERROR(AVERAGE(Data!B1207), "  ")</f>
        <v xml:space="preserve">  </v>
      </c>
      <c r="C1205" s="42" t="str">
        <f>IFERROR(AVERAGE(Data!C1207), "  ")</f>
        <v xml:space="preserve">  </v>
      </c>
      <c r="D1205" s="42" t="str">
        <f>IFERROR(AVERAGE(Data!D1207), "  ")</f>
        <v xml:space="preserve">  </v>
      </c>
      <c r="E1205" s="42" t="str">
        <f>IFERROR(AVERAGE(Data!E1207), "  ")</f>
        <v xml:space="preserve">  </v>
      </c>
      <c r="F1205" s="42" t="str">
        <f>IFERROR(AVERAGE(Data!F1207), "  ")</f>
        <v xml:space="preserve">  </v>
      </c>
      <c r="G1205" s="42" t="str">
        <f>IFERROR(AVERAGE(Data!G1207), "  ")</f>
        <v xml:space="preserve">  </v>
      </c>
      <c r="H1205" s="44" t="str">
        <f>IFERROR(AVERAGE(Data!H1207), "  ")</f>
        <v xml:space="preserve">  </v>
      </c>
      <c r="I1205" s="44" t="str">
        <f>IFERROR(AVERAGE(Data!I1207), "  ")</f>
        <v xml:space="preserve">  </v>
      </c>
      <c r="J1205" s="42" t="str">
        <f>IFERROR(AVERAGE(Data!J1207), "  ")</f>
        <v xml:space="preserve">  </v>
      </c>
      <c r="K1205" s="44" t="str">
        <f>IFERROR(AVERAGE(Data!K1207), "  ")</f>
        <v xml:space="preserve">  </v>
      </c>
      <c r="L1205" s="45" t="str">
        <f>IFERROR(AVERAGE(Data!L1207), "  ")</f>
        <v xml:space="preserve">  </v>
      </c>
    </row>
    <row r="1206" spans="1:12" x14ac:dyDescent="0.2">
      <c r="A1206" s="43"/>
      <c r="B1206" s="42" t="str">
        <f>IFERROR(AVERAGE(Data!B1208), "  ")</f>
        <v xml:space="preserve">  </v>
      </c>
      <c r="C1206" s="42" t="str">
        <f>IFERROR(AVERAGE(Data!C1208), "  ")</f>
        <v xml:space="preserve">  </v>
      </c>
      <c r="D1206" s="42" t="str">
        <f>IFERROR(AVERAGE(Data!D1208), "  ")</f>
        <v xml:space="preserve">  </v>
      </c>
      <c r="E1206" s="42" t="str">
        <f>IFERROR(AVERAGE(Data!E1208), "  ")</f>
        <v xml:space="preserve">  </v>
      </c>
      <c r="F1206" s="42" t="str">
        <f>IFERROR(AVERAGE(Data!F1208), "  ")</f>
        <v xml:space="preserve">  </v>
      </c>
      <c r="G1206" s="42" t="str">
        <f>IFERROR(AVERAGE(Data!G1208), "  ")</f>
        <v xml:space="preserve">  </v>
      </c>
      <c r="H1206" s="44" t="str">
        <f>IFERROR(AVERAGE(Data!H1208), "  ")</f>
        <v xml:space="preserve">  </v>
      </c>
      <c r="I1206" s="44" t="str">
        <f>IFERROR(AVERAGE(Data!I1208), "  ")</f>
        <v xml:space="preserve">  </v>
      </c>
      <c r="J1206" s="42" t="str">
        <f>IFERROR(AVERAGE(Data!J1208), "  ")</f>
        <v xml:space="preserve">  </v>
      </c>
      <c r="K1206" s="44" t="str">
        <f>IFERROR(AVERAGE(Data!K1208), "  ")</f>
        <v xml:space="preserve">  </v>
      </c>
      <c r="L1206" s="45" t="str">
        <f>IFERROR(AVERAGE(Data!L1208), "  ")</f>
        <v xml:space="preserve">  </v>
      </c>
    </row>
    <row r="1207" spans="1:12" x14ac:dyDescent="0.2">
      <c r="A1207" s="43"/>
      <c r="B1207" s="42" t="str">
        <f>IFERROR(AVERAGE(Data!B1209), "  ")</f>
        <v xml:space="preserve">  </v>
      </c>
      <c r="C1207" s="42" t="str">
        <f>IFERROR(AVERAGE(Data!C1209), "  ")</f>
        <v xml:space="preserve">  </v>
      </c>
      <c r="D1207" s="42" t="str">
        <f>IFERROR(AVERAGE(Data!D1209), "  ")</f>
        <v xml:space="preserve">  </v>
      </c>
      <c r="E1207" s="42" t="str">
        <f>IFERROR(AVERAGE(Data!E1209), "  ")</f>
        <v xml:space="preserve">  </v>
      </c>
      <c r="F1207" s="42" t="str">
        <f>IFERROR(AVERAGE(Data!F1209), "  ")</f>
        <v xml:space="preserve">  </v>
      </c>
      <c r="G1207" s="42" t="str">
        <f>IFERROR(AVERAGE(Data!G1209), "  ")</f>
        <v xml:space="preserve">  </v>
      </c>
      <c r="H1207" s="44" t="str">
        <f>IFERROR(AVERAGE(Data!H1209), "  ")</f>
        <v xml:space="preserve">  </v>
      </c>
      <c r="I1207" s="44" t="str">
        <f>IFERROR(AVERAGE(Data!I1209), "  ")</f>
        <v xml:space="preserve">  </v>
      </c>
      <c r="J1207" s="42" t="str">
        <f>IFERROR(AVERAGE(Data!J1209), "  ")</f>
        <v xml:space="preserve">  </v>
      </c>
      <c r="K1207" s="44" t="str">
        <f>IFERROR(AVERAGE(Data!K1209), "  ")</f>
        <v xml:space="preserve">  </v>
      </c>
      <c r="L1207" s="45" t="str">
        <f>IFERROR(AVERAGE(Data!L1209), "  ")</f>
        <v xml:space="preserve">  </v>
      </c>
    </row>
    <row r="1208" spans="1:12" x14ac:dyDescent="0.2">
      <c r="A1208" s="43"/>
      <c r="B1208" s="42" t="str">
        <f>IFERROR(AVERAGE(Data!B1210), "  ")</f>
        <v xml:space="preserve">  </v>
      </c>
      <c r="C1208" s="42" t="str">
        <f>IFERROR(AVERAGE(Data!C1210), "  ")</f>
        <v xml:space="preserve">  </v>
      </c>
      <c r="D1208" s="42" t="str">
        <f>IFERROR(AVERAGE(Data!D1210), "  ")</f>
        <v xml:space="preserve">  </v>
      </c>
      <c r="E1208" s="42" t="str">
        <f>IFERROR(AVERAGE(Data!E1210), "  ")</f>
        <v xml:space="preserve">  </v>
      </c>
      <c r="F1208" s="42" t="str">
        <f>IFERROR(AVERAGE(Data!F1210), "  ")</f>
        <v xml:space="preserve">  </v>
      </c>
      <c r="G1208" s="42" t="str">
        <f>IFERROR(AVERAGE(Data!G1210), "  ")</f>
        <v xml:space="preserve">  </v>
      </c>
      <c r="H1208" s="44" t="str">
        <f>IFERROR(AVERAGE(Data!H1210), "  ")</f>
        <v xml:space="preserve">  </v>
      </c>
      <c r="I1208" s="44" t="str">
        <f>IFERROR(AVERAGE(Data!I1210), "  ")</f>
        <v xml:space="preserve">  </v>
      </c>
      <c r="J1208" s="42" t="str">
        <f>IFERROR(AVERAGE(Data!J1210), "  ")</f>
        <v xml:space="preserve">  </v>
      </c>
      <c r="K1208" s="44" t="str">
        <f>IFERROR(AVERAGE(Data!K1210), "  ")</f>
        <v xml:space="preserve">  </v>
      </c>
      <c r="L1208" s="45" t="str">
        <f>IFERROR(AVERAGE(Data!L1210), "  ")</f>
        <v xml:space="preserve">  </v>
      </c>
    </row>
    <row r="1209" spans="1:12" x14ac:dyDescent="0.2">
      <c r="A1209" s="43"/>
      <c r="B1209" s="42" t="str">
        <f>IFERROR(AVERAGE(Data!B1211), "  ")</f>
        <v xml:space="preserve">  </v>
      </c>
      <c r="C1209" s="42" t="str">
        <f>IFERROR(AVERAGE(Data!C1211), "  ")</f>
        <v xml:space="preserve">  </v>
      </c>
      <c r="D1209" s="42" t="str">
        <f>IFERROR(AVERAGE(Data!D1211), "  ")</f>
        <v xml:space="preserve">  </v>
      </c>
      <c r="E1209" s="42" t="str">
        <f>IFERROR(AVERAGE(Data!E1211), "  ")</f>
        <v xml:space="preserve">  </v>
      </c>
      <c r="F1209" s="42" t="str">
        <f>IFERROR(AVERAGE(Data!F1211), "  ")</f>
        <v xml:space="preserve">  </v>
      </c>
      <c r="G1209" s="42" t="str">
        <f>IFERROR(AVERAGE(Data!G1211), "  ")</f>
        <v xml:space="preserve">  </v>
      </c>
      <c r="H1209" s="44" t="str">
        <f>IFERROR(AVERAGE(Data!H1211), "  ")</f>
        <v xml:space="preserve">  </v>
      </c>
      <c r="I1209" s="44" t="str">
        <f>IFERROR(AVERAGE(Data!I1211), "  ")</f>
        <v xml:space="preserve">  </v>
      </c>
      <c r="J1209" s="42" t="str">
        <f>IFERROR(AVERAGE(Data!J1211), "  ")</f>
        <v xml:space="preserve">  </v>
      </c>
      <c r="K1209" s="44" t="str">
        <f>IFERROR(AVERAGE(Data!K1211), "  ")</f>
        <v xml:space="preserve">  </v>
      </c>
      <c r="L1209" s="45" t="str">
        <f>IFERROR(AVERAGE(Data!L1211), "  ")</f>
        <v xml:space="preserve">  </v>
      </c>
    </row>
    <row r="1210" spans="1:12" x14ac:dyDescent="0.2">
      <c r="A1210" s="43"/>
      <c r="B1210" s="42" t="str">
        <f>IFERROR(AVERAGE(Data!B1212), "  ")</f>
        <v xml:space="preserve">  </v>
      </c>
      <c r="C1210" s="42" t="str">
        <f>IFERROR(AVERAGE(Data!C1212), "  ")</f>
        <v xml:space="preserve">  </v>
      </c>
      <c r="D1210" s="42" t="str">
        <f>IFERROR(AVERAGE(Data!D1212), "  ")</f>
        <v xml:space="preserve">  </v>
      </c>
      <c r="E1210" s="42" t="str">
        <f>IFERROR(AVERAGE(Data!E1212), "  ")</f>
        <v xml:space="preserve">  </v>
      </c>
      <c r="F1210" s="42" t="str">
        <f>IFERROR(AVERAGE(Data!F1212), "  ")</f>
        <v xml:space="preserve">  </v>
      </c>
      <c r="G1210" s="42" t="str">
        <f>IFERROR(AVERAGE(Data!G1212), "  ")</f>
        <v xml:space="preserve">  </v>
      </c>
      <c r="H1210" s="44" t="str">
        <f>IFERROR(AVERAGE(Data!H1212), "  ")</f>
        <v xml:space="preserve">  </v>
      </c>
      <c r="I1210" s="44" t="str">
        <f>IFERROR(AVERAGE(Data!I1212), "  ")</f>
        <v xml:space="preserve">  </v>
      </c>
      <c r="J1210" s="42" t="str">
        <f>IFERROR(AVERAGE(Data!J1212), "  ")</f>
        <v xml:space="preserve">  </v>
      </c>
      <c r="K1210" s="44" t="str">
        <f>IFERROR(AVERAGE(Data!K1212), "  ")</f>
        <v xml:space="preserve">  </v>
      </c>
      <c r="L1210" s="45" t="str">
        <f>IFERROR(AVERAGE(Data!L1212), "  ")</f>
        <v xml:space="preserve">  </v>
      </c>
    </row>
    <row r="1211" spans="1:12" x14ac:dyDescent="0.2">
      <c r="A1211" s="43"/>
      <c r="B1211" s="42" t="str">
        <f>IFERROR(AVERAGE(Data!B1213), "  ")</f>
        <v xml:space="preserve">  </v>
      </c>
      <c r="C1211" s="42" t="str">
        <f>IFERROR(AVERAGE(Data!C1213), "  ")</f>
        <v xml:space="preserve">  </v>
      </c>
      <c r="D1211" s="42" t="str">
        <f>IFERROR(AVERAGE(Data!D1213), "  ")</f>
        <v xml:space="preserve">  </v>
      </c>
      <c r="E1211" s="42" t="str">
        <f>IFERROR(AVERAGE(Data!E1213), "  ")</f>
        <v xml:space="preserve">  </v>
      </c>
      <c r="F1211" s="42" t="str">
        <f>IFERROR(AVERAGE(Data!F1213), "  ")</f>
        <v xml:space="preserve">  </v>
      </c>
      <c r="G1211" s="42" t="str">
        <f>IFERROR(AVERAGE(Data!G1213), "  ")</f>
        <v xml:space="preserve">  </v>
      </c>
      <c r="H1211" s="44" t="str">
        <f>IFERROR(AVERAGE(Data!H1213), "  ")</f>
        <v xml:space="preserve">  </v>
      </c>
      <c r="I1211" s="44" t="str">
        <f>IFERROR(AVERAGE(Data!I1213), "  ")</f>
        <v xml:space="preserve">  </v>
      </c>
      <c r="J1211" s="42" t="str">
        <f>IFERROR(AVERAGE(Data!J1213), "  ")</f>
        <v xml:space="preserve">  </v>
      </c>
      <c r="K1211" s="44" t="str">
        <f>IFERROR(AVERAGE(Data!K1213), "  ")</f>
        <v xml:space="preserve">  </v>
      </c>
      <c r="L1211" s="45" t="str">
        <f>IFERROR(AVERAGE(Data!L1213), "  ")</f>
        <v xml:space="preserve">  </v>
      </c>
    </row>
    <row r="1212" spans="1:12" x14ac:dyDescent="0.2">
      <c r="A1212" s="43"/>
      <c r="B1212" s="42" t="str">
        <f>IFERROR(AVERAGE(Data!B1214), "  ")</f>
        <v xml:space="preserve">  </v>
      </c>
      <c r="C1212" s="42" t="str">
        <f>IFERROR(AVERAGE(Data!C1214), "  ")</f>
        <v xml:space="preserve">  </v>
      </c>
      <c r="D1212" s="42" t="str">
        <f>IFERROR(AVERAGE(Data!D1214), "  ")</f>
        <v xml:space="preserve">  </v>
      </c>
      <c r="E1212" s="42" t="str">
        <f>IFERROR(AVERAGE(Data!E1214), "  ")</f>
        <v xml:space="preserve">  </v>
      </c>
      <c r="F1212" s="42" t="str">
        <f>IFERROR(AVERAGE(Data!F1214), "  ")</f>
        <v xml:space="preserve">  </v>
      </c>
      <c r="G1212" s="42" t="str">
        <f>IFERROR(AVERAGE(Data!G1214), "  ")</f>
        <v xml:space="preserve">  </v>
      </c>
      <c r="H1212" s="44" t="str">
        <f>IFERROR(AVERAGE(Data!H1214), "  ")</f>
        <v xml:space="preserve">  </v>
      </c>
      <c r="I1212" s="44" t="str">
        <f>IFERROR(AVERAGE(Data!I1214), "  ")</f>
        <v xml:space="preserve">  </v>
      </c>
      <c r="J1212" s="42" t="str">
        <f>IFERROR(AVERAGE(Data!J1214), "  ")</f>
        <v xml:space="preserve">  </v>
      </c>
      <c r="K1212" s="44" t="str">
        <f>IFERROR(AVERAGE(Data!K1214), "  ")</f>
        <v xml:space="preserve">  </v>
      </c>
      <c r="L1212" s="45" t="str">
        <f>IFERROR(AVERAGE(Data!L1214), "  ")</f>
        <v xml:space="preserve">  </v>
      </c>
    </row>
    <row r="1213" spans="1:12" x14ac:dyDescent="0.2">
      <c r="A1213" s="43"/>
      <c r="B1213" s="42" t="str">
        <f>IFERROR(AVERAGE(Data!B1215), "  ")</f>
        <v xml:space="preserve">  </v>
      </c>
      <c r="C1213" s="42" t="str">
        <f>IFERROR(AVERAGE(Data!C1215), "  ")</f>
        <v xml:space="preserve">  </v>
      </c>
      <c r="D1213" s="42" t="str">
        <f>IFERROR(AVERAGE(Data!D1215), "  ")</f>
        <v xml:space="preserve">  </v>
      </c>
      <c r="E1213" s="42" t="str">
        <f>IFERROR(AVERAGE(Data!E1215), "  ")</f>
        <v xml:space="preserve">  </v>
      </c>
      <c r="F1213" s="42" t="str">
        <f>IFERROR(AVERAGE(Data!F1215), "  ")</f>
        <v xml:space="preserve">  </v>
      </c>
      <c r="G1213" s="42" t="str">
        <f>IFERROR(AVERAGE(Data!G1215), "  ")</f>
        <v xml:space="preserve">  </v>
      </c>
      <c r="H1213" s="44" t="str">
        <f>IFERROR(AVERAGE(Data!H1215), "  ")</f>
        <v xml:space="preserve">  </v>
      </c>
      <c r="I1213" s="44" t="str">
        <f>IFERROR(AVERAGE(Data!I1215), "  ")</f>
        <v xml:space="preserve">  </v>
      </c>
      <c r="J1213" s="42" t="str">
        <f>IFERROR(AVERAGE(Data!J1215), "  ")</f>
        <v xml:space="preserve">  </v>
      </c>
      <c r="K1213" s="44" t="str">
        <f>IFERROR(AVERAGE(Data!K1215), "  ")</f>
        <v xml:space="preserve">  </v>
      </c>
      <c r="L1213" s="45" t="str">
        <f>IFERROR(AVERAGE(Data!L1215), "  ")</f>
        <v xml:space="preserve">  </v>
      </c>
    </row>
    <row r="1214" spans="1:12" x14ac:dyDescent="0.2">
      <c r="A1214" s="43"/>
      <c r="B1214" s="42" t="str">
        <f>IFERROR(AVERAGE(Data!B1216), "  ")</f>
        <v xml:space="preserve">  </v>
      </c>
      <c r="C1214" s="42" t="str">
        <f>IFERROR(AVERAGE(Data!C1216), "  ")</f>
        <v xml:space="preserve">  </v>
      </c>
      <c r="D1214" s="42" t="str">
        <f>IFERROR(AVERAGE(Data!D1216), "  ")</f>
        <v xml:space="preserve">  </v>
      </c>
      <c r="E1214" s="42" t="str">
        <f>IFERROR(AVERAGE(Data!E1216), "  ")</f>
        <v xml:space="preserve">  </v>
      </c>
      <c r="F1214" s="42" t="str">
        <f>IFERROR(AVERAGE(Data!F1216), "  ")</f>
        <v xml:space="preserve">  </v>
      </c>
      <c r="G1214" s="42" t="str">
        <f>IFERROR(AVERAGE(Data!G1216), "  ")</f>
        <v xml:space="preserve">  </v>
      </c>
      <c r="H1214" s="44" t="str">
        <f>IFERROR(AVERAGE(Data!H1216), "  ")</f>
        <v xml:space="preserve">  </v>
      </c>
      <c r="I1214" s="44" t="str">
        <f>IFERROR(AVERAGE(Data!I1216), "  ")</f>
        <v xml:space="preserve">  </v>
      </c>
      <c r="J1214" s="42" t="str">
        <f>IFERROR(AVERAGE(Data!J1216), "  ")</f>
        <v xml:space="preserve">  </v>
      </c>
      <c r="K1214" s="44" t="str">
        <f>IFERROR(AVERAGE(Data!K1216), "  ")</f>
        <v xml:space="preserve">  </v>
      </c>
      <c r="L1214" s="45" t="str">
        <f>IFERROR(AVERAGE(Data!L1216), "  ")</f>
        <v xml:space="preserve">  </v>
      </c>
    </row>
    <row r="1215" spans="1:12" x14ac:dyDescent="0.2">
      <c r="A1215" s="43"/>
      <c r="B1215" s="42" t="str">
        <f>IFERROR(AVERAGE(Data!B1217), "  ")</f>
        <v xml:space="preserve">  </v>
      </c>
      <c r="C1215" s="42" t="str">
        <f>IFERROR(AVERAGE(Data!C1217), "  ")</f>
        <v xml:space="preserve">  </v>
      </c>
      <c r="D1215" s="42" t="str">
        <f>IFERROR(AVERAGE(Data!D1217), "  ")</f>
        <v xml:space="preserve">  </v>
      </c>
      <c r="E1215" s="42" t="str">
        <f>IFERROR(AVERAGE(Data!E1217), "  ")</f>
        <v xml:space="preserve">  </v>
      </c>
      <c r="F1215" s="42" t="str">
        <f>IFERROR(AVERAGE(Data!F1217), "  ")</f>
        <v xml:space="preserve">  </v>
      </c>
      <c r="G1215" s="42" t="str">
        <f>IFERROR(AVERAGE(Data!G1217), "  ")</f>
        <v xml:space="preserve">  </v>
      </c>
      <c r="H1215" s="44" t="str">
        <f>IFERROR(AVERAGE(Data!H1217), "  ")</f>
        <v xml:space="preserve">  </v>
      </c>
      <c r="I1215" s="44" t="str">
        <f>IFERROR(AVERAGE(Data!I1217), "  ")</f>
        <v xml:space="preserve">  </v>
      </c>
      <c r="J1215" s="42" t="str">
        <f>IFERROR(AVERAGE(Data!J1217), "  ")</f>
        <v xml:space="preserve">  </v>
      </c>
      <c r="K1215" s="44" t="str">
        <f>IFERROR(AVERAGE(Data!K1217), "  ")</f>
        <v xml:space="preserve">  </v>
      </c>
      <c r="L1215" s="45" t="str">
        <f>IFERROR(AVERAGE(Data!L1217), "  ")</f>
        <v xml:space="preserve">  </v>
      </c>
    </row>
    <row r="1216" spans="1:12" x14ac:dyDescent="0.2">
      <c r="A1216" s="43"/>
      <c r="B1216" s="42" t="str">
        <f>IFERROR(AVERAGE(Data!B1218), "  ")</f>
        <v xml:space="preserve">  </v>
      </c>
      <c r="C1216" s="42" t="str">
        <f>IFERROR(AVERAGE(Data!C1218), "  ")</f>
        <v xml:space="preserve">  </v>
      </c>
      <c r="D1216" s="42" t="str">
        <f>IFERROR(AVERAGE(Data!D1218), "  ")</f>
        <v xml:space="preserve">  </v>
      </c>
      <c r="E1216" s="42" t="str">
        <f>IFERROR(AVERAGE(Data!E1218), "  ")</f>
        <v xml:space="preserve">  </v>
      </c>
      <c r="F1216" s="42" t="str">
        <f>IFERROR(AVERAGE(Data!F1218), "  ")</f>
        <v xml:space="preserve">  </v>
      </c>
      <c r="G1216" s="42" t="str">
        <f>IFERROR(AVERAGE(Data!G1218), "  ")</f>
        <v xml:space="preserve">  </v>
      </c>
      <c r="H1216" s="44" t="str">
        <f>IFERROR(AVERAGE(Data!H1218), "  ")</f>
        <v xml:space="preserve">  </v>
      </c>
      <c r="I1216" s="44" t="str">
        <f>IFERROR(AVERAGE(Data!I1218), "  ")</f>
        <v xml:space="preserve">  </v>
      </c>
      <c r="J1216" s="42" t="str">
        <f>IFERROR(AVERAGE(Data!J1218), "  ")</f>
        <v xml:space="preserve">  </v>
      </c>
      <c r="K1216" s="44" t="str">
        <f>IFERROR(AVERAGE(Data!K1218), "  ")</f>
        <v xml:space="preserve">  </v>
      </c>
      <c r="L1216" s="45" t="str">
        <f>IFERROR(AVERAGE(Data!L1218), "  ")</f>
        <v xml:space="preserve">  </v>
      </c>
    </row>
    <row r="1217" spans="1:12" x14ac:dyDescent="0.2">
      <c r="A1217" s="43"/>
      <c r="B1217" s="42" t="str">
        <f>IFERROR(AVERAGE(Data!B1219), "  ")</f>
        <v xml:space="preserve">  </v>
      </c>
      <c r="C1217" s="42" t="str">
        <f>IFERROR(AVERAGE(Data!C1219), "  ")</f>
        <v xml:space="preserve">  </v>
      </c>
      <c r="D1217" s="42" t="str">
        <f>IFERROR(AVERAGE(Data!D1219), "  ")</f>
        <v xml:space="preserve">  </v>
      </c>
      <c r="E1217" s="42" t="str">
        <f>IFERROR(AVERAGE(Data!E1219), "  ")</f>
        <v xml:space="preserve">  </v>
      </c>
      <c r="F1217" s="42" t="str">
        <f>IFERROR(AVERAGE(Data!F1219), "  ")</f>
        <v xml:space="preserve">  </v>
      </c>
      <c r="G1217" s="42" t="str">
        <f>IFERROR(AVERAGE(Data!G1219), "  ")</f>
        <v xml:space="preserve">  </v>
      </c>
      <c r="H1217" s="44" t="str">
        <f>IFERROR(AVERAGE(Data!H1219), "  ")</f>
        <v xml:space="preserve">  </v>
      </c>
      <c r="I1217" s="44" t="str">
        <f>IFERROR(AVERAGE(Data!I1219), "  ")</f>
        <v xml:space="preserve">  </v>
      </c>
      <c r="J1217" s="42" t="str">
        <f>IFERROR(AVERAGE(Data!J1219), "  ")</f>
        <v xml:space="preserve">  </v>
      </c>
      <c r="K1217" s="44" t="str">
        <f>IFERROR(AVERAGE(Data!K1219), "  ")</f>
        <v xml:space="preserve">  </v>
      </c>
      <c r="L1217" s="45" t="str">
        <f>IFERROR(AVERAGE(Data!L1219), "  ")</f>
        <v xml:space="preserve">  </v>
      </c>
    </row>
    <row r="1218" spans="1:12" x14ac:dyDescent="0.2">
      <c r="A1218" s="43"/>
      <c r="B1218" s="42" t="str">
        <f>IFERROR(AVERAGE(Data!B1220), "  ")</f>
        <v xml:space="preserve">  </v>
      </c>
      <c r="C1218" s="42" t="str">
        <f>IFERROR(AVERAGE(Data!C1220), "  ")</f>
        <v xml:space="preserve">  </v>
      </c>
      <c r="D1218" s="42" t="str">
        <f>IFERROR(AVERAGE(Data!D1220), "  ")</f>
        <v xml:space="preserve">  </v>
      </c>
      <c r="E1218" s="42" t="str">
        <f>IFERROR(AVERAGE(Data!E1220), "  ")</f>
        <v xml:space="preserve">  </v>
      </c>
      <c r="F1218" s="42" t="str">
        <f>IFERROR(AVERAGE(Data!F1220), "  ")</f>
        <v xml:space="preserve">  </v>
      </c>
      <c r="G1218" s="42" t="str">
        <f>IFERROR(AVERAGE(Data!G1220), "  ")</f>
        <v xml:space="preserve">  </v>
      </c>
      <c r="H1218" s="44" t="str">
        <f>IFERROR(AVERAGE(Data!H1220), "  ")</f>
        <v xml:space="preserve">  </v>
      </c>
      <c r="I1218" s="44" t="str">
        <f>IFERROR(AVERAGE(Data!I1220), "  ")</f>
        <v xml:space="preserve">  </v>
      </c>
      <c r="J1218" s="42" t="str">
        <f>IFERROR(AVERAGE(Data!J1220), "  ")</f>
        <v xml:space="preserve">  </v>
      </c>
      <c r="K1218" s="44" t="str">
        <f>IFERROR(AVERAGE(Data!K1220), "  ")</f>
        <v xml:space="preserve">  </v>
      </c>
      <c r="L1218" s="45" t="str">
        <f>IFERROR(AVERAGE(Data!L1220), "  ")</f>
        <v xml:space="preserve">  </v>
      </c>
    </row>
    <row r="1219" spans="1:12" x14ac:dyDescent="0.2">
      <c r="A1219" s="43"/>
      <c r="B1219" s="42" t="str">
        <f>IFERROR(AVERAGE(Data!B1221), "  ")</f>
        <v xml:space="preserve">  </v>
      </c>
      <c r="C1219" s="42" t="str">
        <f>IFERROR(AVERAGE(Data!C1221), "  ")</f>
        <v xml:space="preserve">  </v>
      </c>
      <c r="D1219" s="42" t="str">
        <f>IFERROR(AVERAGE(Data!D1221), "  ")</f>
        <v xml:space="preserve">  </v>
      </c>
      <c r="E1219" s="42" t="str">
        <f>IFERROR(AVERAGE(Data!E1221), "  ")</f>
        <v xml:space="preserve">  </v>
      </c>
      <c r="F1219" s="42" t="str">
        <f>IFERROR(AVERAGE(Data!F1221), "  ")</f>
        <v xml:space="preserve">  </v>
      </c>
      <c r="G1219" s="42" t="str">
        <f>IFERROR(AVERAGE(Data!G1221), "  ")</f>
        <v xml:space="preserve">  </v>
      </c>
      <c r="H1219" s="44" t="str">
        <f>IFERROR(AVERAGE(Data!H1221), "  ")</f>
        <v xml:space="preserve">  </v>
      </c>
      <c r="I1219" s="44" t="str">
        <f>IFERROR(AVERAGE(Data!I1221), "  ")</f>
        <v xml:space="preserve">  </v>
      </c>
      <c r="J1219" s="42" t="str">
        <f>IFERROR(AVERAGE(Data!J1221), "  ")</f>
        <v xml:space="preserve">  </v>
      </c>
      <c r="K1219" s="44" t="str">
        <f>IFERROR(AVERAGE(Data!K1221), "  ")</f>
        <v xml:space="preserve">  </v>
      </c>
      <c r="L1219" s="45" t="str">
        <f>IFERROR(AVERAGE(Data!L1221), "  ")</f>
        <v xml:space="preserve">  </v>
      </c>
    </row>
    <row r="1220" spans="1:12" x14ac:dyDescent="0.2">
      <c r="A1220" s="43"/>
      <c r="B1220" s="42" t="str">
        <f>IFERROR(AVERAGE(Data!B1222), "  ")</f>
        <v xml:space="preserve">  </v>
      </c>
      <c r="C1220" s="42" t="str">
        <f>IFERROR(AVERAGE(Data!C1222), "  ")</f>
        <v xml:space="preserve">  </v>
      </c>
      <c r="D1220" s="42" t="str">
        <f>IFERROR(AVERAGE(Data!D1222), "  ")</f>
        <v xml:space="preserve">  </v>
      </c>
      <c r="E1220" s="42" t="str">
        <f>IFERROR(AVERAGE(Data!E1222), "  ")</f>
        <v xml:space="preserve">  </v>
      </c>
      <c r="F1220" s="42" t="str">
        <f>IFERROR(AVERAGE(Data!F1222), "  ")</f>
        <v xml:space="preserve">  </v>
      </c>
      <c r="G1220" s="42" t="str">
        <f>IFERROR(AVERAGE(Data!G1222), "  ")</f>
        <v xml:space="preserve">  </v>
      </c>
      <c r="H1220" s="44" t="str">
        <f>IFERROR(AVERAGE(Data!H1222), "  ")</f>
        <v xml:space="preserve">  </v>
      </c>
      <c r="I1220" s="44" t="str">
        <f>IFERROR(AVERAGE(Data!I1222), "  ")</f>
        <v xml:space="preserve">  </v>
      </c>
      <c r="J1220" s="42" t="str">
        <f>IFERROR(AVERAGE(Data!J1222), "  ")</f>
        <v xml:space="preserve">  </v>
      </c>
      <c r="K1220" s="44" t="str">
        <f>IFERROR(AVERAGE(Data!K1222), "  ")</f>
        <v xml:space="preserve">  </v>
      </c>
      <c r="L1220" s="45" t="str">
        <f>IFERROR(AVERAGE(Data!L1222), "  ")</f>
        <v xml:space="preserve">  </v>
      </c>
    </row>
    <row r="1221" spans="1:12" x14ac:dyDescent="0.2">
      <c r="A1221" s="43"/>
      <c r="B1221" s="42" t="str">
        <f>IFERROR(AVERAGE(Data!B1223), "  ")</f>
        <v xml:space="preserve">  </v>
      </c>
      <c r="C1221" s="42" t="str">
        <f>IFERROR(AVERAGE(Data!C1223), "  ")</f>
        <v xml:space="preserve">  </v>
      </c>
      <c r="D1221" s="42" t="str">
        <f>IFERROR(AVERAGE(Data!D1223), "  ")</f>
        <v xml:space="preserve">  </v>
      </c>
      <c r="E1221" s="42" t="str">
        <f>IFERROR(AVERAGE(Data!E1223), "  ")</f>
        <v xml:space="preserve">  </v>
      </c>
      <c r="F1221" s="42" t="str">
        <f>IFERROR(AVERAGE(Data!F1223), "  ")</f>
        <v xml:space="preserve">  </v>
      </c>
      <c r="G1221" s="42" t="str">
        <f>IFERROR(AVERAGE(Data!G1223), "  ")</f>
        <v xml:space="preserve">  </v>
      </c>
      <c r="H1221" s="44" t="str">
        <f>IFERROR(AVERAGE(Data!H1223), "  ")</f>
        <v xml:space="preserve">  </v>
      </c>
      <c r="I1221" s="44" t="str">
        <f>IFERROR(AVERAGE(Data!I1223), "  ")</f>
        <v xml:space="preserve">  </v>
      </c>
      <c r="J1221" s="42" t="str">
        <f>IFERROR(AVERAGE(Data!J1223), "  ")</f>
        <v xml:space="preserve">  </v>
      </c>
      <c r="K1221" s="44" t="str">
        <f>IFERROR(AVERAGE(Data!K1223), "  ")</f>
        <v xml:space="preserve">  </v>
      </c>
      <c r="L1221" s="45" t="str">
        <f>IFERROR(AVERAGE(Data!L1223), "  ")</f>
        <v xml:space="preserve">  </v>
      </c>
    </row>
    <row r="1222" spans="1:12" x14ac:dyDescent="0.2">
      <c r="A1222" s="43"/>
      <c r="B1222" s="42" t="str">
        <f>IFERROR(AVERAGE(Data!B1224), "  ")</f>
        <v xml:space="preserve">  </v>
      </c>
      <c r="C1222" s="42" t="str">
        <f>IFERROR(AVERAGE(Data!C1224), "  ")</f>
        <v xml:space="preserve">  </v>
      </c>
      <c r="D1222" s="42" t="str">
        <f>IFERROR(AVERAGE(Data!D1224), "  ")</f>
        <v xml:space="preserve">  </v>
      </c>
      <c r="E1222" s="42" t="str">
        <f>IFERROR(AVERAGE(Data!E1224), "  ")</f>
        <v xml:space="preserve">  </v>
      </c>
      <c r="F1222" s="42" t="str">
        <f>IFERROR(AVERAGE(Data!F1224), "  ")</f>
        <v xml:space="preserve">  </v>
      </c>
      <c r="G1222" s="42" t="str">
        <f>IFERROR(AVERAGE(Data!G1224), "  ")</f>
        <v xml:space="preserve">  </v>
      </c>
      <c r="H1222" s="44" t="str">
        <f>IFERROR(AVERAGE(Data!H1224), "  ")</f>
        <v xml:space="preserve">  </v>
      </c>
      <c r="I1222" s="44" t="str">
        <f>IFERROR(AVERAGE(Data!I1224), "  ")</f>
        <v xml:space="preserve">  </v>
      </c>
      <c r="J1222" s="42" t="str">
        <f>IFERROR(AVERAGE(Data!J1224), "  ")</f>
        <v xml:space="preserve">  </v>
      </c>
      <c r="K1222" s="44" t="str">
        <f>IFERROR(AVERAGE(Data!K1224), "  ")</f>
        <v xml:space="preserve">  </v>
      </c>
      <c r="L1222" s="45" t="str">
        <f>IFERROR(AVERAGE(Data!L1224), "  ")</f>
        <v xml:space="preserve">  </v>
      </c>
    </row>
    <row r="1223" spans="1:12" x14ac:dyDescent="0.2">
      <c r="A1223" s="43"/>
      <c r="B1223" s="42" t="str">
        <f>IFERROR(AVERAGE(Data!B1225), "  ")</f>
        <v xml:space="preserve">  </v>
      </c>
      <c r="C1223" s="42" t="str">
        <f>IFERROR(AVERAGE(Data!C1225), "  ")</f>
        <v xml:space="preserve">  </v>
      </c>
      <c r="D1223" s="42" t="str">
        <f>IFERROR(AVERAGE(Data!D1225), "  ")</f>
        <v xml:space="preserve">  </v>
      </c>
      <c r="E1223" s="42" t="str">
        <f>IFERROR(AVERAGE(Data!E1225), "  ")</f>
        <v xml:space="preserve">  </v>
      </c>
      <c r="F1223" s="42" t="str">
        <f>IFERROR(AVERAGE(Data!F1225), "  ")</f>
        <v xml:space="preserve">  </v>
      </c>
      <c r="G1223" s="42" t="str">
        <f>IFERROR(AVERAGE(Data!G1225), "  ")</f>
        <v xml:space="preserve">  </v>
      </c>
      <c r="H1223" s="44" t="str">
        <f>IFERROR(AVERAGE(Data!H1225), "  ")</f>
        <v xml:space="preserve">  </v>
      </c>
      <c r="I1223" s="44" t="str">
        <f>IFERROR(AVERAGE(Data!I1225), "  ")</f>
        <v xml:space="preserve">  </v>
      </c>
      <c r="J1223" s="42" t="str">
        <f>IFERROR(AVERAGE(Data!J1225), "  ")</f>
        <v xml:space="preserve">  </v>
      </c>
      <c r="K1223" s="44" t="str">
        <f>IFERROR(AVERAGE(Data!K1225), "  ")</f>
        <v xml:space="preserve">  </v>
      </c>
      <c r="L1223" s="45" t="str">
        <f>IFERROR(AVERAGE(Data!L1225), "  ")</f>
        <v xml:space="preserve">  </v>
      </c>
    </row>
    <row r="1224" spans="1:12" x14ac:dyDescent="0.2">
      <c r="A1224" s="43"/>
      <c r="B1224" s="42" t="str">
        <f>IFERROR(AVERAGE(Data!B1226), "  ")</f>
        <v xml:space="preserve">  </v>
      </c>
      <c r="C1224" s="42" t="str">
        <f>IFERROR(AVERAGE(Data!C1226), "  ")</f>
        <v xml:space="preserve">  </v>
      </c>
      <c r="D1224" s="42" t="str">
        <f>IFERROR(AVERAGE(Data!D1226), "  ")</f>
        <v xml:space="preserve">  </v>
      </c>
      <c r="E1224" s="42" t="str">
        <f>IFERROR(AVERAGE(Data!E1226), "  ")</f>
        <v xml:space="preserve">  </v>
      </c>
      <c r="F1224" s="42" t="str">
        <f>IFERROR(AVERAGE(Data!F1226), "  ")</f>
        <v xml:space="preserve">  </v>
      </c>
      <c r="G1224" s="42" t="str">
        <f>IFERROR(AVERAGE(Data!G1226), "  ")</f>
        <v xml:space="preserve">  </v>
      </c>
      <c r="H1224" s="44" t="str">
        <f>IFERROR(AVERAGE(Data!H1226), "  ")</f>
        <v xml:space="preserve">  </v>
      </c>
      <c r="I1224" s="44" t="str">
        <f>IFERROR(AVERAGE(Data!I1226), "  ")</f>
        <v xml:space="preserve">  </v>
      </c>
      <c r="J1224" s="42" t="str">
        <f>IFERROR(AVERAGE(Data!J1226), "  ")</f>
        <v xml:space="preserve">  </v>
      </c>
      <c r="K1224" s="44" t="str">
        <f>IFERROR(AVERAGE(Data!K1226), "  ")</f>
        <v xml:space="preserve">  </v>
      </c>
      <c r="L1224" s="45" t="str">
        <f>IFERROR(AVERAGE(Data!L1226), "  ")</f>
        <v xml:space="preserve">  </v>
      </c>
    </row>
    <row r="1225" spans="1:12" x14ac:dyDescent="0.2">
      <c r="A1225" s="43"/>
      <c r="B1225" s="42" t="str">
        <f>IFERROR(AVERAGE(Data!B1227), "  ")</f>
        <v xml:space="preserve">  </v>
      </c>
      <c r="C1225" s="42" t="str">
        <f>IFERROR(AVERAGE(Data!C1227), "  ")</f>
        <v xml:space="preserve">  </v>
      </c>
      <c r="D1225" s="42" t="str">
        <f>IFERROR(AVERAGE(Data!D1227), "  ")</f>
        <v xml:space="preserve">  </v>
      </c>
      <c r="E1225" s="42" t="str">
        <f>IFERROR(AVERAGE(Data!E1227), "  ")</f>
        <v xml:space="preserve">  </v>
      </c>
      <c r="F1225" s="42" t="str">
        <f>IFERROR(AVERAGE(Data!F1227), "  ")</f>
        <v xml:space="preserve">  </v>
      </c>
      <c r="G1225" s="42" t="str">
        <f>IFERROR(AVERAGE(Data!G1227), "  ")</f>
        <v xml:space="preserve">  </v>
      </c>
      <c r="H1225" s="44" t="str">
        <f>IFERROR(AVERAGE(Data!H1227), "  ")</f>
        <v xml:space="preserve">  </v>
      </c>
      <c r="I1225" s="44" t="str">
        <f>IFERROR(AVERAGE(Data!I1227), "  ")</f>
        <v xml:space="preserve">  </v>
      </c>
      <c r="J1225" s="42" t="str">
        <f>IFERROR(AVERAGE(Data!J1227), "  ")</f>
        <v xml:space="preserve">  </v>
      </c>
      <c r="K1225" s="44" t="str">
        <f>IFERROR(AVERAGE(Data!K1227), "  ")</f>
        <v xml:space="preserve">  </v>
      </c>
      <c r="L1225" s="45" t="str">
        <f>IFERROR(AVERAGE(Data!L1227), "  ")</f>
        <v xml:space="preserve">  </v>
      </c>
    </row>
    <row r="1226" spans="1:12" x14ac:dyDescent="0.2">
      <c r="A1226" s="43"/>
      <c r="B1226" s="42" t="str">
        <f>IFERROR(AVERAGE(Data!B1228), "  ")</f>
        <v xml:space="preserve">  </v>
      </c>
      <c r="C1226" s="42" t="str">
        <f>IFERROR(AVERAGE(Data!C1228), "  ")</f>
        <v xml:space="preserve">  </v>
      </c>
      <c r="D1226" s="42" t="str">
        <f>IFERROR(AVERAGE(Data!D1228), "  ")</f>
        <v xml:space="preserve">  </v>
      </c>
      <c r="E1226" s="42" t="str">
        <f>IFERROR(AVERAGE(Data!E1228), "  ")</f>
        <v xml:space="preserve">  </v>
      </c>
      <c r="F1226" s="42" t="str">
        <f>IFERROR(AVERAGE(Data!F1228), "  ")</f>
        <v xml:space="preserve">  </v>
      </c>
      <c r="G1226" s="42" t="str">
        <f>IFERROR(AVERAGE(Data!G1228), "  ")</f>
        <v xml:space="preserve">  </v>
      </c>
      <c r="H1226" s="44" t="str">
        <f>IFERROR(AVERAGE(Data!H1228), "  ")</f>
        <v xml:space="preserve">  </v>
      </c>
      <c r="I1226" s="44" t="str">
        <f>IFERROR(AVERAGE(Data!I1228), "  ")</f>
        <v xml:space="preserve">  </v>
      </c>
      <c r="J1226" s="42" t="str">
        <f>IFERROR(AVERAGE(Data!J1228), "  ")</f>
        <v xml:space="preserve">  </v>
      </c>
      <c r="K1226" s="44" t="str">
        <f>IFERROR(AVERAGE(Data!K1228), "  ")</f>
        <v xml:space="preserve">  </v>
      </c>
      <c r="L1226" s="45" t="str">
        <f>IFERROR(AVERAGE(Data!L1228), "  ")</f>
        <v xml:space="preserve">  </v>
      </c>
    </row>
    <row r="1227" spans="1:12" x14ac:dyDescent="0.2">
      <c r="A1227" s="43"/>
      <c r="B1227" s="42" t="str">
        <f>IFERROR(AVERAGE(Data!B1229), "  ")</f>
        <v xml:space="preserve">  </v>
      </c>
      <c r="C1227" s="42" t="str">
        <f>IFERROR(AVERAGE(Data!C1229), "  ")</f>
        <v xml:space="preserve">  </v>
      </c>
      <c r="D1227" s="42" t="str">
        <f>IFERROR(AVERAGE(Data!D1229), "  ")</f>
        <v xml:space="preserve">  </v>
      </c>
      <c r="E1227" s="42" t="str">
        <f>IFERROR(AVERAGE(Data!E1229), "  ")</f>
        <v xml:space="preserve">  </v>
      </c>
      <c r="F1227" s="42" t="str">
        <f>IFERROR(AVERAGE(Data!F1229), "  ")</f>
        <v xml:space="preserve">  </v>
      </c>
      <c r="G1227" s="42" t="str">
        <f>IFERROR(AVERAGE(Data!G1229), "  ")</f>
        <v xml:space="preserve">  </v>
      </c>
      <c r="H1227" s="44" t="str">
        <f>IFERROR(AVERAGE(Data!H1229), "  ")</f>
        <v xml:space="preserve">  </v>
      </c>
      <c r="I1227" s="44" t="str">
        <f>IFERROR(AVERAGE(Data!I1229), "  ")</f>
        <v xml:space="preserve">  </v>
      </c>
      <c r="J1227" s="42" t="str">
        <f>IFERROR(AVERAGE(Data!J1229), "  ")</f>
        <v xml:space="preserve">  </v>
      </c>
      <c r="K1227" s="44" t="str">
        <f>IFERROR(AVERAGE(Data!K1229), "  ")</f>
        <v xml:space="preserve">  </v>
      </c>
      <c r="L1227" s="45" t="str">
        <f>IFERROR(AVERAGE(Data!L1229), "  ")</f>
        <v xml:space="preserve">  </v>
      </c>
    </row>
    <row r="1228" spans="1:12" x14ac:dyDescent="0.2">
      <c r="A1228" s="43"/>
      <c r="B1228" s="42" t="str">
        <f>IFERROR(AVERAGE(Data!B1230), "  ")</f>
        <v xml:space="preserve">  </v>
      </c>
      <c r="C1228" s="42" t="str">
        <f>IFERROR(AVERAGE(Data!C1230), "  ")</f>
        <v xml:space="preserve">  </v>
      </c>
      <c r="D1228" s="42" t="str">
        <f>IFERROR(AVERAGE(Data!D1230), "  ")</f>
        <v xml:space="preserve">  </v>
      </c>
      <c r="E1228" s="42" t="str">
        <f>IFERROR(AVERAGE(Data!E1230), "  ")</f>
        <v xml:space="preserve">  </v>
      </c>
      <c r="F1228" s="42" t="str">
        <f>IFERROR(AVERAGE(Data!F1230), "  ")</f>
        <v xml:space="preserve">  </v>
      </c>
      <c r="G1228" s="42" t="str">
        <f>IFERROR(AVERAGE(Data!G1230), "  ")</f>
        <v xml:space="preserve">  </v>
      </c>
      <c r="H1228" s="44" t="str">
        <f>IFERROR(AVERAGE(Data!H1230), "  ")</f>
        <v xml:space="preserve">  </v>
      </c>
      <c r="I1228" s="44" t="str">
        <f>IFERROR(AVERAGE(Data!I1230), "  ")</f>
        <v xml:space="preserve">  </v>
      </c>
      <c r="J1228" s="42" t="str">
        <f>IFERROR(AVERAGE(Data!J1230), "  ")</f>
        <v xml:space="preserve">  </v>
      </c>
      <c r="K1228" s="44" t="str">
        <f>IFERROR(AVERAGE(Data!K1230), "  ")</f>
        <v xml:space="preserve">  </v>
      </c>
      <c r="L1228" s="45" t="str">
        <f>IFERROR(AVERAGE(Data!L1230), "  ")</f>
        <v xml:space="preserve">  </v>
      </c>
    </row>
    <row r="1229" spans="1:12" x14ac:dyDescent="0.2">
      <c r="A1229" s="43"/>
      <c r="B1229" s="42" t="str">
        <f>IFERROR(AVERAGE(Data!B1231), "  ")</f>
        <v xml:space="preserve">  </v>
      </c>
      <c r="C1229" s="42" t="str">
        <f>IFERROR(AVERAGE(Data!C1231), "  ")</f>
        <v xml:space="preserve">  </v>
      </c>
      <c r="D1229" s="42" t="str">
        <f>IFERROR(AVERAGE(Data!D1231), "  ")</f>
        <v xml:space="preserve">  </v>
      </c>
      <c r="E1229" s="42" t="str">
        <f>IFERROR(AVERAGE(Data!E1231), "  ")</f>
        <v xml:space="preserve">  </v>
      </c>
      <c r="F1229" s="42" t="str">
        <f>IFERROR(AVERAGE(Data!F1231), "  ")</f>
        <v xml:space="preserve">  </v>
      </c>
      <c r="G1229" s="42" t="str">
        <f>IFERROR(AVERAGE(Data!G1231), "  ")</f>
        <v xml:space="preserve">  </v>
      </c>
      <c r="H1229" s="44" t="str">
        <f>IFERROR(AVERAGE(Data!H1231), "  ")</f>
        <v xml:space="preserve">  </v>
      </c>
      <c r="I1229" s="44" t="str">
        <f>IFERROR(AVERAGE(Data!I1231), "  ")</f>
        <v xml:space="preserve">  </v>
      </c>
      <c r="J1229" s="42" t="str">
        <f>IFERROR(AVERAGE(Data!J1231), "  ")</f>
        <v xml:space="preserve">  </v>
      </c>
      <c r="K1229" s="44" t="str">
        <f>IFERROR(AVERAGE(Data!K1231), "  ")</f>
        <v xml:space="preserve">  </v>
      </c>
      <c r="L1229" s="45" t="str">
        <f>IFERROR(AVERAGE(Data!L1231), "  ")</f>
        <v xml:space="preserve">  </v>
      </c>
    </row>
    <row r="1230" spans="1:12" x14ac:dyDescent="0.2">
      <c r="A1230" s="43"/>
      <c r="B1230" s="42" t="str">
        <f>IFERROR(AVERAGE(Data!B1232), "  ")</f>
        <v xml:space="preserve">  </v>
      </c>
      <c r="C1230" s="42" t="str">
        <f>IFERROR(AVERAGE(Data!C1232), "  ")</f>
        <v xml:space="preserve">  </v>
      </c>
      <c r="D1230" s="42" t="str">
        <f>IFERROR(AVERAGE(Data!D1232), "  ")</f>
        <v xml:space="preserve">  </v>
      </c>
      <c r="E1230" s="42" t="str">
        <f>IFERROR(AVERAGE(Data!E1232), "  ")</f>
        <v xml:space="preserve">  </v>
      </c>
      <c r="F1230" s="42" t="str">
        <f>IFERROR(AVERAGE(Data!F1232), "  ")</f>
        <v xml:space="preserve">  </v>
      </c>
      <c r="G1230" s="42" t="str">
        <f>IFERROR(AVERAGE(Data!G1232), "  ")</f>
        <v xml:space="preserve">  </v>
      </c>
      <c r="H1230" s="44" t="str">
        <f>IFERROR(AVERAGE(Data!H1232), "  ")</f>
        <v xml:space="preserve">  </v>
      </c>
      <c r="I1230" s="44" t="str">
        <f>IFERROR(AVERAGE(Data!I1232), "  ")</f>
        <v xml:space="preserve">  </v>
      </c>
      <c r="J1230" s="42" t="str">
        <f>IFERROR(AVERAGE(Data!J1232), "  ")</f>
        <v xml:space="preserve">  </v>
      </c>
      <c r="K1230" s="44" t="str">
        <f>IFERROR(AVERAGE(Data!K1232), "  ")</f>
        <v xml:space="preserve">  </v>
      </c>
      <c r="L1230" s="45" t="str">
        <f>IFERROR(AVERAGE(Data!L1232), "  ")</f>
        <v xml:space="preserve">  </v>
      </c>
    </row>
    <row r="1231" spans="1:12" x14ac:dyDescent="0.2">
      <c r="A1231" s="43"/>
      <c r="B1231" s="42" t="str">
        <f>IFERROR(AVERAGE(Data!B1233), "  ")</f>
        <v xml:space="preserve">  </v>
      </c>
      <c r="C1231" s="42" t="str">
        <f>IFERROR(AVERAGE(Data!C1233), "  ")</f>
        <v xml:space="preserve">  </v>
      </c>
      <c r="D1231" s="42" t="str">
        <f>IFERROR(AVERAGE(Data!D1233), "  ")</f>
        <v xml:space="preserve">  </v>
      </c>
      <c r="E1231" s="42" t="str">
        <f>IFERROR(AVERAGE(Data!E1233), "  ")</f>
        <v xml:space="preserve">  </v>
      </c>
      <c r="F1231" s="42" t="str">
        <f>IFERROR(AVERAGE(Data!F1233), "  ")</f>
        <v xml:space="preserve">  </v>
      </c>
      <c r="G1231" s="42" t="str">
        <f>IFERROR(AVERAGE(Data!G1233), "  ")</f>
        <v xml:space="preserve">  </v>
      </c>
      <c r="H1231" s="44" t="str">
        <f>IFERROR(AVERAGE(Data!H1233), "  ")</f>
        <v xml:space="preserve">  </v>
      </c>
      <c r="I1231" s="44" t="str">
        <f>IFERROR(AVERAGE(Data!I1233), "  ")</f>
        <v xml:space="preserve">  </v>
      </c>
      <c r="J1231" s="42" t="str">
        <f>IFERROR(AVERAGE(Data!J1233), "  ")</f>
        <v xml:space="preserve">  </v>
      </c>
      <c r="K1231" s="44" t="str">
        <f>IFERROR(AVERAGE(Data!K1233), "  ")</f>
        <v xml:space="preserve">  </v>
      </c>
      <c r="L1231" s="45" t="str">
        <f>IFERROR(AVERAGE(Data!L1233), "  ")</f>
        <v xml:space="preserve">  </v>
      </c>
    </row>
    <row r="1232" spans="1:12" x14ac:dyDescent="0.2">
      <c r="A1232" s="43"/>
      <c r="B1232" s="42" t="str">
        <f>IFERROR(AVERAGE(Data!B1234), "  ")</f>
        <v xml:space="preserve">  </v>
      </c>
      <c r="C1232" s="42" t="str">
        <f>IFERROR(AVERAGE(Data!C1234), "  ")</f>
        <v xml:space="preserve">  </v>
      </c>
      <c r="D1232" s="42" t="str">
        <f>IFERROR(AVERAGE(Data!D1234), "  ")</f>
        <v xml:space="preserve">  </v>
      </c>
      <c r="E1232" s="42" t="str">
        <f>IFERROR(AVERAGE(Data!E1234), "  ")</f>
        <v xml:space="preserve">  </v>
      </c>
      <c r="F1232" s="42" t="str">
        <f>IFERROR(AVERAGE(Data!F1234), "  ")</f>
        <v xml:space="preserve">  </v>
      </c>
      <c r="G1232" s="42" t="str">
        <f>IFERROR(AVERAGE(Data!G1234), "  ")</f>
        <v xml:space="preserve">  </v>
      </c>
      <c r="H1232" s="44" t="str">
        <f>IFERROR(AVERAGE(Data!H1234), "  ")</f>
        <v xml:space="preserve">  </v>
      </c>
      <c r="I1232" s="44" t="str">
        <f>IFERROR(AVERAGE(Data!I1234), "  ")</f>
        <v xml:space="preserve">  </v>
      </c>
      <c r="J1232" s="42" t="str">
        <f>IFERROR(AVERAGE(Data!J1234), "  ")</f>
        <v xml:space="preserve">  </v>
      </c>
      <c r="K1232" s="44" t="str">
        <f>IFERROR(AVERAGE(Data!K1234), "  ")</f>
        <v xml:space="preserve">  </v>
      </c>
      <c r="L1232" s="45" t="str">
        <f>IFERROR(AVERAGE(Data!L1234), "  ")</f>
        <v xml:space="preserve">  </v>
      </c>
    </row>
    <row r="1233" spans="1:12" x14ac:dyDescent="0.2">
      <c r="A1233" s="43"/>
      <c r="B1233" s="42" t="str">
        <f>IFERROR(AVERAGE(Data!B1235), "  ")</f>
        <v xml:space="preserve">  </v>
      </c>
      <c r="C1233" s="42" t="str">
        <f>IFERROR(AVERAGE(Data!C1235), "  ")</f>
        <v xml:space="preserve">  </v>
      </c>
      <c r="D1233" s="42" t="str">
        <f>IFERROR(AVERAGE(Data!D1235), "  ")</f>
        <v xml:space="preserve">  </v>
      </c>
      <c r="E1233" s="42" t="str">
        <f>IFERROR(AVERAGE(Data!E1235), "  ")</f>
        <v xml:space="preserve">  </v>
      </c>
      <c r="F1233" s="42" t="str">
        <f>IFERROR(AVERAGE(Data!F1235), "  ")</f>
        <v xml:space="preserve">  </v>
      </c>
      <c r="G1233" s="42" t="str">
        <f>IFERROR(AVERAGE(Data!G1235), "  ")</f>
        <v xml:space="preserve">  </v>
      </c>
      <c r="H1233" s="44" t="str">
        <f>IFERROR(AVERAGE(Data!H1235), "  ")</f>
        <v xml:space="preserve">  </v>
      </c>
      <c r="I1233" s="44" t="str">
        <f>IFERROR(AVERAGE(Data!I1235), "  ")</f>
        <v xml:space="preserve">  </v>
      </c>
      <c r="J1233" s="42" t="str">
        <f>IFERROR(AVERAGE(Data!J1235), "  ")</f>
        <v xml:space="preserve">  </v>
      </c>
      <c r="K1233" s="44" t="str">
        <f>IFERROR(AVERAGE(Data!K1235), "  ")</f>
        <v xml:space="preserve">  </v>
      </c>
      <c r="L1233" s="45" t="str">
        <f>IFERROR(AVERAGE(Data!L1235), "  ")</f>
        <v xml:space="preserve">  </v>
      </c>
    </row>
    <row r="1234" spans="1:12" x14ac:dyDescent="0.2">
      <c r="A1234" s="43"/>
      <c r="B1234" s="42" t="str">
        <f>IFERROR(AVERAGE(Data!B1236), "  ")</f>
        <v xml:space="preserve">  </v>
      </c>
      <c r="C1234" s="42" t="str">
        <f>IFERROR(AVERAGE(Data!C1236), "  ")</f>
        <v xml:space="preserve">  </v>
      </c>
      <c r="D1234" s="42" t="str">
        <f>IFERROR(AVERAGE(Data!D1236), "  ")</f>
        <v xml:space="preserve">  </v>
      </c>
      <c r="E1234" s="42" t="str">
        <f>IFERROR(AVERAGE(Data!E1236), "  ")</f>
        <v xml:space="preserve">  </v>
      </c>
      <c r="F1234" s="42" t="str">
        <f>IFERROR(AVERAGE(Data!F1236), "  ")</f>
        <v xml:space="preserve">  </v>
      </c>
      <c r="G1234" s="42" t="str">
        <f>IFERROR(AVERAGE(Data!G1236), "  ")</f>
        <v xml:space="preserve">  </v>
      </c>
      <c r="H1234" s="44" t="str">
        <f>IFERROR(AVERAGE(Data!H1236), "  ")</f>
        <v xml:space="preserve">  </v>
      </c>
      <c r="I1234" s="44" t="str">
        <f>IFERROR(AVERAGE(Data!I1236), "  ")</f>
        <v xml:space="preserve">  </v>
      </c>
      <c r="J1234" s="42" t="str">
        <f>IFERROR(AVERAGE(Data!J1236), "  ")</f>
        <v xml:space="preserve">  </v>
      </c>
      <c r="K1234" s="44" t="str">
        <f>IFERROR(AVERAGE(Data!K1236), "  ")</f>
        <v xml:space="preserve">  </v>
      </c>
      <c r="L1234" s="45" t="str">
        <f>IFERROR(AVERAGE(Data!L1236), "  ")</f>
        <v xml:space="preserve">  </v>
      </c>
    </row>
    <row r="1235" spans="1:12" x14ac:dyDescent="0.2">
      <c r="A1235" s="43"/>
      <c r="B1235" s="42" t="str">
        <f>IFERROR(AVERAGE(Data!B1237), "  ")</f>
        <v xml:space="preserve">  </v>
      </c>
      <c r="C1235" s="42" t="str">
        <f>IFERROR(AVERAGE(Data!C1237), "  ")</f>
        <v xml:space="preserve">  </v>
      </c>
      <c r="D1235" s="42" t="str">
        <f>IFERROR(AVERAGE(Data!D1237), "  ")</f>
        <v xml:space="preserve">  </v>
      </c>
      <c r="E1235" s="42" t="str">
        <f>IFERROR(AVERAGE(Data!E1237), "  ")</f>
        <v xml:space="preserve">  </v>
      </c>
      <c r="F1235" s="42" t="str">
        <f>IFERROR(AVERAGE(Data!F1237), "  ")</f>
        <v xml:space="preserve">  </v>
      </c>
      <c r="G1235" s="42" t="str">
        <f>IFERROR(AVERAGE(Data!G1237), "  ")</f>
        <v xml:space="preserve">  </v>
      </c>
      <c r="H1235" s="44" t="str">
        <f>IFERROR(AVERAGE(Data!H1237), "  ")</f>
        <v xml:space="preserve">  </v>
      </c>
      <c r="I1235" s="44" t="str">
        <f>IFERROR(AVERAGE(Data!I1237), "  ")</f>
        <v xml:space="preserve">  </v>
      </c>
      <c r="J1235" s="42" t="str">
        <f>IFERROR(AVERAGE(Data!J1237), "  ")</f>
        <v xml:space="preserve">  </v>
      </c>
      <c r="K1235" s="44" t="str">
        <f>IFERROR(AVERAGE(Data!K1237), "  ")</f>
        <v xml:space="preserve">  </v>
      </c>
      <c r="L1235" s="45" t="str">
        <f>IFERROR(AVERAGE(Data!L1237), "  ")</f>
        <v xml:space="preserve">  </v>
      </c>
    </row>
    <row r="1236" spans="1:12" x14ac:dyDescent="0.2">
      <c r="A1236" s="43"/>
      <c r="B1236" s="42" t="str">
        <f>IFERROR(AVERAGE(Data!B1238), "  ")</f>
        <v xml:space="preserve">  </v>
      </c>
      <c r="C1236" s="42" t="str">
        <f>IFERROR(AVERAGE(Data!C1238), "  ")</f>
        <v xml:space="preserve">  </v>
      </c>
      <c r="D1236" s="42" t="str">
        <f>IFERROR(AVERAGE(Data!D1238), "  ")</f>
        <v xml:space="preserve">  </v>
      </c>
      <c r="E1236" s="42" t="str">
        <f>IFERROR(AVERAGE(Data!E1238), "  ")</f>
        <v xml:space="preserve">  </v>
      </c>
      <c r="F1236" s="42" t="str">
        <f>IFERROR(AVERAGE(Data!F1238), "  ")</f>
        <v xml:space="preserve">  </v>
      </c>
      <c r="G1236" s="42" t="str">
        <f>IFERROR(AVERAGE(Data!G1238), "  ")</f>
        <v xml:space="preserve">  </v>
      </c>
      <c r="H1236" s="44" t="str">
        <f>IFERROR(AVERAGE(Data!H1238), "  ")</f>
        <v xml:space="preserve">  </v>
      </c>
      <c r="I1236" s="44" t="str">
        <f>IFERROR(AVERAGE(Data!I1238), "  ")</f>
        <v xml:space="preserve">  </v>
      </c>
      <c r="J1236" s="42" t="str">
        <f>IFERROR(AVERAGE(Data!J1238), "  ")</f>
        <v xml:space="preserve">  </v>
      </c>
      <c r="K1236" s="44" t="str">
        <f>IFERROR(AVERAGE(Data!K1238), "  ")</f>
        <v xml:space="preserve">  </v>
      </c>
      <c r="L1236" s="45" t="str">
        <f>IFERROR(AVERAGE(Data!L1238), "  ")</f>
        <v xml:space="preserve">  </v>
      </c>
    </row>
    <row r="1237" spans="1:12" x14ac:dyDescent="0.2">
      <c r="A1237" s="43"/>
      <c r="B1237" s="42" t="str">
        <f>IFERROR(AVERAGE(Data!B1239), "  ")</f>
        <v xml:space="preserve">  </v>
      </c>
      <c r="C1237" s="42" t="str">
        <f>IFERROR(AVERAGE(Data!C1239), "  ")</f>
        <v xml:space="preserve">  </v>
      </c>
      <c r="D1237" s="42" t="str">
        <f>IFERROR(AVERAGE(Data!D1239), "  ")</f>
        <v xml:space="preserve">  </v>
      </c>
      <c r="E1237" s="42" t="str">
        <f>IFERROR(AVERAGE(Data!E1239), "  ")</f>
        <v xml:space="preserve">  </v>
      </c>
      <c r="F1237" s="42" t="str">
        <f>IFERROR(AVERAGE(Data!F1239), "  ")</f>
        <v xml:space="preserve">  </v>
      </c>
      <c r="G1237" s="42" t="str">
        <f>IFERROR(AVERAGE(Data!G1239), "  ")</f>
        <v xml:space="preserve">  </v>
      </c>
      <c r="H1237" s="44" t="str">
        <f>IFERROR(AVERAGE(Data!H1239), "  ")</f>
        <v xml:space="preserve">  </v>
      </c>
      <c r="I1237" s="44" t="str">
        <f>IFERROR(AVERAGE(Data!I1239), "  ")</f>
        <v xml:space="preserve">  </v>
      </c>
      <c r="J1237" s="42" t="str">
        <f>IFERROR(AVERAGE(Data!J1239), "  ")</f>
        <v xml:space="preserve">  </v>
      </c>
      <c r="K1237" s="44" t="str">
        <f>IFERROR(AVERAGE(Data!K1239), "  ")</f>
        <v xml:space="preserve">  </v>
      </c>
      <c r="L1237" s="45" t="str">
        <f>IFERROR(AVERAGE(Data!L1239), "  ")</f>
        <v xml:space="preserve">  </v>
      </c>
    </row>
    <row r="1238" spans="1:12" x14ac:dyDescent="0.2">
      <c r="A1238" s="43"/>
      <c r="B1238" s="42" t="str">
        <f>IFERROR(AVERAGE(Data!B1240), "  ")</f>
        <v xml:space="preserve">  </v>
      </c>
      <c r="C1238" s="42" t="str">
        <f>IFERROR(AVERAGE(Data!C1240), "  ")</f>
        <v xml:space="preserve">  </v>
      </c>
      <c r="D1238" s="42" t="str">
        <f>IFERROR(AVERAGE(Data!D1240), "  ")</f>
        <v xml:space="preserve">  </v>
      </c>
      <c r="E1238" s="42" t="str">
        <f>IFERROR(AVERAGE(Data!E1240), "  ")</f>
        <v xml:space="preserve">  </v>
      </c>
      <c r="F1238" s="42" t="str">
        <f>IFERROR(AVERAGE(Data!F1240), "  ")</f>
        <v xml:space="preserve">  </v>
      </c>
      <c r="G1238" s="42" t="str">
        <f>IFERROR(AVERAGE(Data!G1240), "  ")</f>
        <v xml:space="preserve">  </v>
      </c>
      <c r="H1238" s="44" t="str">
        <f>IFERROR(AVERAGE(Data!H1240), "  ")</f>
        <v xml:space="preserve">  </v>
      </c>
      <c r="I1238" s="44" t="str">
        <f>IFERROR(AVERAGE(Data!I1240), "  ")</f>
        <v xml:space="preserve">  </v>
      </c>
      <c r="J1238" s="42" t="str">
        <f>IFERROR(AVERAGE(Data!J1240), "  ")</f>
        <v xml:space="preserve">  </v>
      </c>
      <c r="K1238" s="44" t="str">
        <f>IFERROR(AVERAGE(Data!K1240), "  ")</f>
        <v xml:space="preserve">  </v>
      </c>
      <c r="L1238" s="45" t="str">
        <f>IFERROR(AVERAGE(Data!L1240), "  ")</f>
        <v xml:space="preserve">  </v>
      </c>
    </row>
    <row r="1239" spans="1:12" x14ac:dyDescent="0.2">
      <c r="A1239" s="43"/>
      <c r="B1239" s="42" t="str">
        <f>IFERROR(AVERAGE(Data!B1241), "  ")</f>
        <v xml:space="preserve">  </v>
      </c>
      <c r="C1239" s="42" t="str">
        <f>IFERROR(AVERAGE(Data!C1241), "  ")</f>
        <v xml:space="preserve">  </v>
      </c>
      <c r="D1239" s="42" t="str">
        <f>IFERROR(AVERAGE(Data!D1241), "  ")</f>
        <v xml:space="preserve">  </v>
      </c>
      <c r="E1239" s="42" t="str">
        <f>IFERROR(AVERAGE(Data!E1241), "  ")</f>
        <v xml:space="preserve">  </v>
      </c>
      <c r="F1239" s="42" t="str">
        <f>IFERROR(AVERAGE(Data!F1241), "  ")</f>
        <v xml:space="preserve">  </v>
      </c>
      <c r="G1239" s="42" t="str">
        <f>IFERROR(AVERAGE(Data!G1241), "  ")</f>
        <v xml:space="preserve">  </v>
      </c>
      <c r="H1239" s="44" t="str">
        <f>IFERROR(AVERAGE(Data!H1241), "  ")</f>
        <v xml:space="preserve">  </v>
      </c>
      <c r="I1239" s="44" t="str">
        <f>IFERROR(AVERAGE(Data!I1241), "  ")</f>
        <v xml:space="preserve">  </v>
      </c>
      <c r="J1239" s="42" t="str">
        <f>IFERROR(AVERAGE(Data!J1241), "  ")</f>
        <v xml:space="preserve">  </v>
      </c>
      <c r="K1239" s="44" t="str">
        <f>IFERROR(AVERAGE(Data!K1241), "  ")</f>
        <v xml:space="preserve">  </v>
      </c>
      <c r="L1239" s="45" t="str">
        <f>IFERROR(AVERAGE(Data!L1241), "  ")</f>
        <v xml:space="preserve">  </v>
      </c>
    </row>
    <row r="1240" spans="1:12" x14ac:dyDescent="0.2">
      <c r="A1240" s="43"/>
      <c r="B1240" s="42" t="str">
        <f>IFERROR(AVERAGE(Data!B1242), "  ")</f>
        <v xml:space="preserve">  </v>
      </c>
      <c r="C1240" s="42" t="str">
        <f>IFERROR(AVERAGE(Data!C1242), "  ")</f>
        <v xml:space="preserve">  </v>
      </c>
      <c r="D1240" s="42" t="str">
        <f>IFERROR(AVERAGE(Data!D1242), "  ")</f>
        <v xml:space="preserve">  </v>
      </c>
      <c r="E1240" s="42" t="str">
        <f>IFERROR(AVERAGE(Data!E1242), "  ")</f>
        <v xml:space="preserve">  </v>
      </c>
      <c r="F1240" s="42" t="str">
        <f>IFERROR(AVERAGE(Data!F1242), "  ")</f>
        <v xml:space="preserve">  </v>
      </c>
      <c r="G1240" s="42" t="str">
        <f>IFERROR(AVERAGE(Data!G1242), "  ")</f>
        <v xml:space="preserve">  </v>
      </c>
      <c r="H1240" s="44" t="str">
        <f>IFERROR(AVERAGE(Data!H1242), "  ")</f>
        <v xml:space="preserve">  </v>
      </c>
      <c r="I1240" s="44" t="str">
        <f>IFERROR(AVERAGE(Data!I1242), "  ")</f>
        <v xml:space="preserve">  </v>
      </c>
      <c r="J1240" s="42" t="str">
        <f>IFERROR(AVERAGE(Data!J1242), "  ")</f>
        <v xml:space="preserve">  </v>
      </c>
      <c r="K1240" s="44" t="str">
        <f>IFERROR(AVERAGE(Data!K1242), "  ")</f>
        <v xml:space="preserve">  </v>
      </c>
      <c r="L1240" s="45" t="str">
        <f>IFERROR(AVERAGE(Data!L1242), "  ")</f>
        <v xml:space="preserve">  </v>
      </c>
    </row>
    <row r="1241" spans="1:12" x14ac:dyDescent="0.2">
      <c r="A1241" s="43"/>
      <c r="B1241" s="42" t="str">
        <f>IFERROR(AVERAGE(Data!B1243), "  ")</f>
        <v xml:space="preserve">  </v>
      </c>
      <c r="C1241" s="42" t="str">
        <f>IFERROR(AVERAGE(Data!C1243), "  ")</f>
        <v xml:space="preserve">  </v>
      </c>
      <c r="D1241" s="42" t="str">
        <f>IFERROR(AVERAGE(Data!D1243), "  ")</f>
        <v xml:space="preserve">  </v>
      </c>
      <c r="E1241" s="42" t="str">
        <f>IFERROR(AVERAGE(Data!E1243), "  ")</f>
        <v xml:space="preserve">  </v>
      </c>
      <c r="F1241" s="42" t="str">
        <f>IFERROR(AVERAGE(Data!F1243), "  ")</f>
        <v xml:space="preserve">  </v>
      </c>
      <c r="G1241" s="42" t="str">
        <f>IFERROR(AVERAGE(Data!G1243), "  ")</f>
        <v xml:space="preserve">  </v>
      </c>
      <c r="H1241" s="44" t="str">
        <f>IFERROR(AVERAGE(Data!H1243), "  ")</f>
        <v xml:space="preserve">  </v>
      </c>
      <c r="I1241" s="44" t="str">
        <f>IFERROR(AVERAGE(Data!I1243), "  ")</f>
        <v xml:space="preserve">  </v>
      </c>
      <c r="J1241" s="42" t="str">
        <f>IFERROR(AVERAGE(Data!J1243), "  ")</f>
        <v xml:space="preserve">  </v>
      </c>
      <c r="K1241" s="44" t="str">
        <f>IFERROR(AVERAGE(Data!K1243), "  ")</f>
        <v xml:space="preserve">  </v>
      </c>
      <c r="L1241" s="45" t="str">
        <f>IFERROR(AVERAGE(Data!L1243), "  ")</f>
        <v xml:space="preserve">  </v>
      </c>
    </row>
    <row r="1242" spans="1:12" x14ac:dyDescent="0.2">
      <c r="A1242" s="43"/>
      <c r="B1242" s="42" t="str">
        <f>IFERROR(AVERAGE(Data!B1244), "  ")</f>
        <v xml:space="preserve">  </v>
      </c>
      <c r="C1242" s="42" t="str">
        <f>IFERROR(AVERAGE(Data!C1244), "  ")</f>
        <v xml:space="preserve">  </v>
      </c>
      <c r="D1242" s="42" t="str">
        <f>IFERROR(AVERAGE(Data!D1244), "  ")</f>
        <v xml:space="preserve">  </v>
      </c>
      <c r="E1242" s="42" t="str">
        <f>IFERROR(AVERAGE(Data!E1244), "  ")</f>
        <v xml:space="preserve">  </v>
      </c>
      <c r="F1242" s="42" t="str">
        <f>IFERROR(AVERAGE(Data!F1244), "  ")</f>
        <v xml:space="preserve">  </v>
      </c>
      <c r="G1242" s="42" t="str">
        <f>IFERROR(AVERAGE(Data!G1244), "  ")</f>
        <v xml:space="preserve">  </v>
      </c>
      <c r="H1242" s="44" t="str">
        <f>IFERROR(AVERAGE(Data!H1244), "  ")</f>
        <v xml:space="preserve">  </v>
      </c>
      <c r="I1242" s="44" t="str">
        <f>IFERROR(AVERAGE(Data!I1244), "  ")</f>
        <v xml:space="preserve">  </v>
      </c>
      <c r="J1242" s="42" t="str">
        <f>IFERROR(AVERAGE(Data!J1244), "  ")</f>
        <v xml:space="preserve">  </v>
      </c>
      <c r="K1242" s="44" t="str">
        <f>IFERROR(AVERAGE(Data!K1244), "  ")</f>
        <v xml:space="preserve">  </v>
      </c>
      <c r="L1242" s="45" t="str">
        <f>IFERROR(AVERAGE(Data!L1244), "  ")</f>
        <v xml:space="preserve">  </v>
      </c>
    </row>
    <row r="1243" spans="1:12" x14ac:dyDescent="0.2">
      <c r="A1243" s="43"/>
      <c r="B1243" s="42" t="str">
        <f>IFERROR(AVERAGE(Data!B1245), "  ")</f>
        <v xml:space="preserve">  </v>
      </c>
      <c r="C1243" s="42" t="str">
        <f>IFERROR(AVERAGE(Data!C1245), "  ")</f>
        <v xml:space="preserve">  </v>
      </c>
      <c r="D1243" s="42" t="str">
        <f>IFERROR(AVERAGE(Data!D1245), "  ")</f>
        <v xml:space="preserve">  </v>
      </c>
      <c r="E1243" s="42" t="str">
        <f>IFERROR(AVERAGE(Data!E1245), "  ")</f>
        <v xml:space="preserve">  </v>
      </c>
      <c r="F1243" s="42" t="str">
        <f>IFERROR(AVERAGE(Data!F1245), "  ")</f>
        <v xml:space="preserve">  </v>
      </c>
      <c r="G1243" s="42" t="str">
        <f>IFERROR(AVERAGE(Data!G1245), "  ")</f>
        <v xml:space="preserve">  </v>
      </c>
      <c r="H1243" s="44" t="str">
        <f>IFERROR(AVERAGE(Data!H1245), "  ")</f>
        <v xml:space="preserve">  </v>
      </c>
      <c r="I1243" s="44" t="str">
        <f>IFERROR(AVERAGE(Data!I1245), "  ")</f>
        <v xml:space="preserve">  </v>
      </c>
      <c r="J1243" s="42" t="str">
        <f>IFERROR(AVERAGE(Data!J1245), "  ")</f>
        <v xml:space="preserve">  </v>
      </c>
      <c r="K1243" s="44" t="str">
        <f>IFERROR(AVERAGE(Data!K1245), "  ")</f>
        <v xml:space="preserve">  </v>
      </c>
      <c r="L1243" s="45" t="str">
        <f>IFERROR(AVERAGE(Data!L1245), "  ")</f>
        <v xml:space="preserve">  </v>
      </c>
    </row>
    <row r="1244" spans="1:12" x14ac:dyDescent="0.2">
      <c r="A1244" s="43"/>
      <c r="B1244" s="42" t="str">
        <f>IFERROR(AVERAGE(Data!B1246), "  ")</f>
        <v xml:space="preserve">  </v>
      </c>
      <c r="C1244" s="42" t="str">
        <f>IFERROR(AVERAGE(Data!C1246), "  ")</f>
        <v xml:space="preserve">  </v>
      </c>
      <c r="D1244" s="42" t="str">
        <f>IFERROR(AVERAGE(Data!D1246), "  ")</f>
        <v xml:space="preserve">  </v>
      </c>
      <c r="E1244" s="42" t="str">
        <f>IFERROR(AVERAGE(Data!E1246), "  ")</f>
        <v xml:space="preserve">  </v>
      </c>
      <c r="F1244" s="42" t="str">
        <f>IFERROR(AVERAGE(Data!F1246), "  ")</f>
        <v xml:space="preserve">  </v>
      </c>
      <c r="G1244" s="42" t="str">
        <f>IFERROR(AVERAGE(Data!G1246), "  ")</f>
        <v xml:space="preserve">  </v>
      </c>
      <c r="H1244" s="44" t="str">
        <f>IFERROR(AVERAGE(Data!H1246), "  ")</f>
        <v xml:space="preserve">  </v>
      </c>
      <c r="I1244" s="44" t="str">
        <f>IFERROR(AVERAGE(Data!I1246), "  ")</f>
        <v xml:space="preserve">  </v>
      </c>
      <c r="J1244" s="42" t="str">
        <f>IFERROR(AVERAGE(Data!J1246), "  ")</f>
        <v xml:space="preserve">  </v>
      </c>
      <c r="K1244" s="44" t="str">
        <f>IFERROR(AVERAGE(Data!K1246), "  ")</f>
        <v xml:space="preserve">  </v>
      </c>
      <c r="L1244" s="45" t="str">
        <f>IFERROR(AVERAGE(Data!L1246), "  ")</f>
        <v xml:space="preserve">  </v>
      </c>
    </row>
    <row r="1245" spans="1:12" x14ac:dyDescent="0.2">
      <c r="A1245" s="43"/>
      <c r="B1245" s="42" t="str">
        <f>IFERROR(AVERAGE(Data!B1247), "  ")</f>
        <v xml:space="preserve">  </v>
      </c>
      <c r="C1245" s="42" t="str">
        <f>IFERROR(AVERAGE(Data!C1247), "  ")</f>
        <v xml:space="preserve">  </v>
      </c>
      <c r="D1245" s="42" t="str">
        <f>IFERROR(AVERAGE(Data!D1247), "  ")</f>
        <v xml:space="preserve">  </v>
      </c>
      <c r="E1245" s="42" t="str">
        <f>IFERROR(AVERAGE(Data!E1247), "  ")</f>
        <v xml:space="preserve">  </v>
      </c>
      <c r="F1245" s="42" t="str">
        <f>IFERROR(AVERAGE(Data!F1247), "  ")</f>
        <v xml:space="preserve">  </v>
      </c>
      <c r="G1245" s="42" t="str">
        <f>IFERROR(AVERAGE(Data!G1247), "  ")</f>
        <v xml:space="preserve">  </v>
      </c>
      <c r="H1245" s="44" t="str">
        <f>IFERROR(AVERAGE(Data!H1247), "  ")</f>
        <v xml:space="preserve">  </v>
      </c>
      <c r="I1245" s="44" t="str">
        <f>IFERROR(AVERAGE(Data!I1247), "  ")</f>
        <v xml:space="preserve">  </v>
      </c>
      <c r="J1245" s="42" t="str">
        <f>IFERROR(AVERAGE(Data!J1247), "  ")</f>
        <v xml:space="preserve">  </v>
      </c>
      <c r="K1245" s="44" t="str">
        <f>IFERROR(AVERAGE(Data!K1247), "  ")</f>
        <v xml:space="preserve">  </v>
      </c>
      <c r="L1245" s="45" t="str">
        <f>IFERROR(AVERAGE(Data!L1247), "  ")</f>
        <v xml:space="preserve">  </v>
      </c>
    </row>
    <row r="1246" spans="1:12" x14ac:dyDescent="0.2">
      <c r="A1246" s="43"/>
      <c r="B1246" s="42" t="str">
        <f>IFERROR(AVERAGE(Data!B1248), "  ")</f>
        <v xml:space="preserve">  </v>
      </c>
      <c r="C1246" s="42" t="str">
        <f>IFERROR(AVERAGE(Data!C1248), "  ")</f>
        <v xml:space="preserve">  </v>
      </c>
      <c r="D1246" s="42" t="str">
        <f>IFERROR(AVERAGE(Data!D1248), "  ")</f>
        <v xml:space="preserve">  </v>
      </c>
      <c r="E1246" s="42" t="str">
        <f>IFERROR(AVERAGE(Data!E1248), "  ")</f>
        <v xml:space="preserve">  </v>
      </c>
      <c r="F1246" s="42" t="str">
        <f>IFERROR(AVERAGE(Data!F1248), "  ")</f>
        <v xml:space="preserve">  </v>
      </c>
      <c r="G1246" s="42" t="str">
        <f>IFERROR(AVERAGE(Data!G1248), "  ")</f>
        <v xml:space="preserve">  </v>
      </c>
      <c r="H1246" s="44" t="str">
        <f>IFERROR(AVERAGE(Data!H1248), "  ")</f>
        <v xml:space="preserve">  </v>
      </c>
      <c r="I1246" s="44" t="str">
        <f>IFERROR(AVERAGE(Data!I1248), "  ")</f>
        <v xml:space="preserve">  </v>
      </c>
      <c r="J1246" s="42" t="str">
        <f>IFERROR(AVERAGE(Data!J1248), "  ")</f>
        <v xml:space="preserve">  </v>
      </c>
      <c r="K1246" s="44" t="str">
        <f>IFERROR(AVERAGE(Data!K1248), "  ")</f>
        <v xml:space="preserve">  </v>
      </c>
      <c r="L1246" s="45" t="str">
        <f>IFERROR(AVERAGE(Data!L1248), "  ")</f>
        <v xml:space="preserve">  </v>
      </c>
    </row>
    <row r="1247" spans="1:12" x14ac:dyDescent="0.2">
      <c r="A1247" s="43"/>
      <c r="B1247" s="42" t="str">
        <f>IFERROR(AVERAGE(Data!B1249), "  ")</f>
        <v xml:space="preserve">  </v>
      </c>
      <c r="C1247" s="42" t="str">
        <f>IFERROR(AVERAGE(Data!C1249), "  ")</f>
        <v xml:space="preserve">  </v>
      </c>
      <c r="D1247" s="42" t="str">
        <f>IFERROR(AVERAGE(Data!D1249), "  ")</f>
        <v xml:space="preserve">  </v>
      </c>
      <c r="E1247" s="42" t="str">
        <f>IFERROR(AVERAGE(Data!E1249), "  ")</f>
        <v xml:space="preserve">  </v>
      </c>
      <c r="F1247" s="42" t="str">
        <f>IFERROR(AVERAGE(Data!F1249), "  ")</f>
        <v xml:space="preserve">  </v>
      </c>
      <c r="G1247" s="42" t="str">
        <f>IFERROR(AVERAGE(Data!G1249), "  ")</f>
        <v xml:space="preserve">  </v>
      </c>
      <c r="H1247" s="44" t="str">
        <f>IFERROR(AVERAGE(Data!H1249), "  ")</f>
        <v xml:space="preserve">  </v>
      </c>
      <c r="I1247" s="44" t="str">
        <f>IFERROR(AVERAGE(Data!I1249), "  ")</f>
        <v xml:space="preserve">  </v>
      </c>
      <c r="J1247" s="42" t="str">
        <f>IFERROR(AVERAGE(Data!J1249), "  ")</f>
        <v xml:space="preserve">  </v>
      </c>
      <c r="K1247" s="44" t="str">
        <f>IFERROR(AVERAGE(Data!K1249), "  ")</f>
        <v xml:space="preserve">  </v>
      </c>
      <c r="L1247" s="45" t="str">
        <f>IFERROR(AVERAGE(Data!L1249), "  ")</f>
        <v xml:space="preserve">  </v>
      </c>
    </row>
    <row r="1248" spans="1:12" x14ac:dyDescent="0.2">
      <c r="A1248" s="43"/>
      <c r="B1248" s="42" t="str">
        <f>IFERROR(AVERAGE(Data!B1250), "  ")</f>
        <v xml:space="preserve">  </v>
      </c>
      <c r="C1248" s="42" t="str">
        <f>IFERROR(AVERAGE(Data!C1250), "  ")</f>
        <v xml:space="preserve">  </v>
      </c>
      <c r="D1248" s="42" t="str">
        <f>IFERROR(AVERAGE(Data!D1250), "  ")</f>
        <v xml:space="preserve">  </v>
      </c>
      <c r="E1248" s="42" t="str">
        <f>IFERROR(AVERAGE(Data!E1250), "  ")</f>
        <v xml:space="preserve">  </v>
      </c>
      <c r="F1248" s="42" t="str">
        <f>IFERROR(AVERAGE(Data!F1250), "  ")</f>
        <v xml:space="preserve">  </v>
      </c>
      <c r="G1248" s="42" t="str">
        <f>IFERROR(AVERAGE(Data!G1250), "  ")</f>
        <v xml:space="preserve">  </v>
      </c>
      <c r="H1248" s="44" t="str">
        <f>IFERROR(AVERAGE(Data!H1250), "  ")</f>
        <v xml:space="preserve">  </v>
      </c>
      <c r="I1248" s="44" t="str">
        <f>IFERROR(AVERAGE(Data!I1250), "  ")</f>
        <v xml:space="preserve">  </v>
      </c>
      <c r="J1248" s="42" t="str">
        <f>IFERROR(AVERAGE(Data!J1250), "  ")</f>
        <v xml:space="preserve">  </v>
      </c>
      <c r="K1248" s="44" t="str">
        <f>IFERROR(AVERAGE(Data!K1250), "  ")</f>
        <v xml:space="preserve">  </v>
      </c>
      <c r="L1248" s="45" t="str">
        <f>IFERROR(AVERAGE(Data!L1250), "  ")</f>
        <v xml:space="preserve">  </v>
      </c>
    </row>
    <row r="1249" spans="1:12" x14ac:dyDescent="0.2">
      <c r="A1249" s="43"/>
      <c r="B1249" s="42" t="str">
        <f>IFERROR(AVERAGE(Data!B1251), "  ")</f>
        <v xml:space="preserve">  </v>
      </c>
      <c r="C1249" s="42" t="str">
        <f>IFERROR(AVERAGE(Data!C1251), "  ")</f>
        <v xml:space="preserve">  </v>
      </c>
      <c r="D1249" s="42" t="str">
        <f>IFERROR(AVERAGE(Data!D1251), "  ")</f>
        <v xml:space="preserve">  </v>
      </c>
      <c r="E1249" s="42" t="str">
        <f>IFERROR(AVERAGE(Data!E1251), "  ")</f>
        <v xml:space="preserve">  </v>
      </c>
      <c r="F1249" s="42" t="str">
        <f>IFERROR(AVERAGE(Data!F1251), "  ")</f>
        <v xml:space="preserve">  </v>
      </c>
      <c r="G1249" s="42" t="str">
        <f>IFERROR(AVERAGE(Data!G1251), "  ")</f>
        <v xml:space="preserve">  </v>
      </c>
      <c r="H1249" s="44" t="str">
        <f>IFERROR(AVERAGE(Data!H1251), "  ")</f>
        <v xml:space="preserve">  </v>
      </c>
      <c r="I1249" s="44" t="str">
        <f>IFERROR(AVERAGE(Data!I1251), "  ")</f>
        <v xml:space="preserve">  </v>
      </c>
      <c r="J1249" s="42" t="str">
        <f>IFERROR(AVERAGE(Data!J1251), "  ")</f>
        <v xml:space="preserve">  </v>
      </c>
      <c r="K1249" s="44" t="str">
        <f>IFERROR(AVERAGE(Data!K1251), "  ")</f>
        <v xml:space="preserve">  </v>
      </c>
      <c r="L1249" s="45" t="str">
        <f>IFERROR(AVERAGE(Data!L1251), "  ")</f>
        <v xml:space="preserve">  </v>
      </c>
    </row>
    <row r="1250" spans="1:12" x14ac:dyDescent="0.2">
      <c r="A1250" s="43"/>
      <c r="B1250" s="42" t="str">
        <f>IFERROR(AVERAGE(Data!B1252), "  ")</f>
        <v xml:space="preserve">  </v>
      </c>
      <c r="C1250" s="42" t="str">
        <f>IFERROR(AVERAGE(Data!C1252), "  ")</f>
        <v xml:space="preserve">  </v>
      </c>
      <c r="D1250" s="42" t="str">
        <f>IFERROR(AVERAGE(Data!D1252), "  ")</f>
        <v xml:space="preserve">  </v>
      </c>
      <c r="E1250" s="42" t="str">
        <f>IFERROR(AVERAGE(Data!E1252), "  ")</f>
        <v xml:space="preserve">  </v>
      </c>
      <c r="F1250" s="42" t="str">
        <f>IFERROR(AVERAGE(Data!F1252), "  ")</f>
        <v xml:space="preserve">  </v>
      </c>
      <c r="G1250" s="42" t="str">
        <f>IFERROR(AVERAGE(Data!G1252), "  ")</f>
        <v xml:space="preserve">  </v>
      </c>
      <c r="H1250" s="44" t="str">
        <f>IFERROR(AVERAGE(Data!H1252), "  ")</f>
        <v xml:space="preserve">  </v>
      </c>
      <c r="I1250" s="44" t="str">
        <f>IFERROR(AVERAGE(Data!I1252), "  ")</f>
        <v xml:space="preserve">  </v>
      </c>
      <c r="J1250" s="42" t="str">
        <f>IFERROR(AVERAGE(Data!J1252), "  ")</f>
        <v xml:space="preserve">  </v>
      </c>
      <c r="K1250" s="44" t="str">
        <f>IFERROR(AVERAGE(Data!K1252), "  ")</f>
        <v xml:space="preserve">  </v>
      </c>
      <c r="L1250" s="45" t="str">
        <f>IFERROR(AVERAGE(Data!L1252), "  ")</f>
        <v xml:space="preserve">  </v>
      </c>
    </row>
    <row r="1251" spans="1:12" x14ac:dyDescent="0.2">
      <c r="A1251" s="43"/>
      <c r="B1251" s="42" t="str">
        <f>IFERROR(AVERAGE(Data!B1253), "  ")</f>
        <v xml:space="preserve">  </v>
      </c>
      <c r="C1251" s="42" t="str">
        <f>IFERROR(AVERAGE(Data!C1253), "  ")</f>
        <v xml:space="preserve">  </v>
      </c>
      <c r="D1251" s="42" t="str">
        <f>IFERROR(AVERAGE(Data!D1253), "  ")</f>
        <v xml:space="preserve">  </v>
      </c>
      <c r="E1251" s="42" t="str">
        <f>IFERROR(AVERAGE(Data!E1253), "  ")</f>
        <v xml:space="preserve">  </v>
      </c>
      <c r="F1251" s="42" t="str">
        <f>IFERROR(AVERAGE(Data!F1253), "  ")</f>
        <v xml:space="preserve">  </v>
      </c>
      <c r="G1251" s="42" t="str">
        <f>IFERROR(AVERAGE(Data!G1253), "  ")</f>
        <v xml:space="preserve">  </v>
      </c>
      <c r="H1251" s="44" t="str">
        <f>IFERROR(AVERAGE(Data!H1253), "  ")</f>
        <v xml:space="preserve">  </v>
      </c>
      <c r="I1251" s="44" t="str">
        <f>IFERROR(AVERAGE(Data!I1253), "  ")</f>
        <v xml:space="preserve">  </v>
      </c>
      <c r="J1251" s="42" t="str">
        <f>IFERROR(AVERAGE(Data!J1253), "  ")</f>
        <v xml:space="preserve">  </v>
      </c>
      <c r="K1251" s="44" t="str">
        <f>IFERROR(AVERAGE(Data!K1253), "  ")</f>
        <v xml:space="preserve">  </v>
      </c>
      <c r="L1251" s="45" t="str">
        <f>IFERROR(AVERAGE(Data!L1253), "  ")</f>
        <v xml:space="preserve">  </v>
      </c>
    </row>
    <row r="1252" spans="1:12" x14ac:dyDescent="0.2">
      <c r="A1252" s="43"/>
      <c r="B1252" s="42" t="str">
        <f>IFERROR(AVERAGE(Data!B1254), "  ")</f>
        <v xml:space="preserve">  </v>
      </c>
      <c r="C1252" s="42" t="str">
        <f>IFERROR(AVERAGE(Data!C1254), "  ")</f>
        <v xml:space="preserve">  </v>
      </c>
      <c r="D1252" s="42" t="str">
        <f>IFERROR(AVERAGE(Data!D1254), "  ")</f>
        <v xml:space="preserve">  </v>
      </c>
      <c r="E1252" s="42" t="str">
        <f>IFERROR(AVERAGE(Data!E1254), "  ")</f>
        <v xml:space="preserve">  </v>
      </c>
      <c r="F1252" s="42" t="str">
        <f>IFERROR(AVERAGE(Data!F1254), "  ")</f>
        <v xml:space="preserve">  </v>
      </c>
      <c r="G1252" s="42" t="str">
        <f>IFERROR(AVERAGE(Data!G1254), "  ")</f>
        <v xml:space="preserve">  </v>
      </c>
      <c r="H1252" s="44" t="str">
        <f>IFERROR(AVERAGE(Data!H1254), "  ")</f>
        <v xml:space="preserve">  </v>
      </c>
      <c r="I1252" s="44" t="str">
        <f>IFERROR(AVERAGE(Data!I1254), "  ")</f>
        <v xml:space="preserve">  </v>
      </c>
      <c r="J1252" s="42" t="str">
        <f>IFERROR(AVERAGE(Data!J1254), "  ")</f>
        <v xml:space="preserve">  </v>
      </c>
      <c r="K1252" s="44" t="str">
        <f>IFERROR(AVERAGE(Data!K1254), "  ")</f>
        <v xml:space="preserve">  </v>
      </c>
      <c r="L1252" s="45" t="str">
        <f>IFERROR(AVERAGE(Data!L1254), "  ")</f>
        <v xml:space="preserve">  </v>
      </c>
    </row>
    <row r="1253" spans="1:12" x14ac:dyDescent="0.2">
      <c r="A1253" s="43"/>
      <c r="B1253" s="42" t="str">
        <f>IFERROR(AVERAGE(Data!B1255), "  ")</f>
        <v xml:space="preserve">  </v>
      </c>
      <c r="C1253" s="42" t="str">
        <f>IFERROR(AVERAGE(Data!C1255), "  ")</f>
        <v xml:space="preserve">  </v>
      </c>
      <c r="D1253" s="42" t="str">
        <f>IFERROR(AVERAGE(Data!D1255), "  ")</f>
        <v xml:space="preserve">  </v>
      </c>
      <c r="E1253" s="42" t="str">
        <f>IFERROR(AVERAGE(Data!E1255), "  ")</f>
        <v xml:space="preserve">  </v>
      </c>
      <c r="F1253" s="42" t="str">
        <f>IFERROR(AVERAGE(Data!F1255), "  ")</f>
        <v xml:space="preserve">  </v>
      </c>
      <c r="G1253" s="42" t="str">
        <f>IFERROR(AVERAGE(Data!G1255), "  ")</f>
        <v xml:space="preserve">  </v>
      </c>
      <c r="H1253" s="44" t="str">
        <f>IFERROR(AVERAGE(Data!H1255), "  ")</f>
        <v xml:space="preserve">  </v>
      </c>
      <c r="I1253" s="44" t="str">
        <f>IFERROR(AVERAGE(Data!I1255), "  ")</f>
        <v xml:space="preserve">  </v>
      </c>
      <c r="J1253" s="42" t="str">
        <f>IFERROR(AVERAGE(Data!J1255), "  ")</f>
        <v xml:space="preserve">  </v>
      </c>
      <c r="K1253" s="44" t="str">
        <f>IFERROR(AVERAGE(Data!K1255), "  ")</f>
        <v xml:space="preserve">  </v>
      </c>
      <c r="L1253" s="45" t="str">
        <f>IFERROR(AVERAGE(Data!L1255), "  ")</f>
        <v xml:space="preserve">  </v>
      </c>
    </row>
    <row r="1254" spans="1:12" x14ac:dyDescent="0.2">
      <c r="A1254" s="43"/>
      <c r="B1254" s="42" t="str">
        <f>IFERROR(AVERAGE(Data!B1256), "  ")</f>
        <v xml:space="preserve">  </v>
      </c>
      <c r="C1254" s="42" t="str">
        <f>IFERROR(AVERAGE(Data!C1256), "  ")</f>
        <v xml:space="preserve">  </v>
      </c>
      <c r="D1254" s="42" t="str">
        <f>IFERROR(AVERAGE(Data!D1256), "  ")</f>
        <v xml:space="preserve">  </v>
      </c>
      <c r="E1254" s="42" t="str">
        <f>IFERROR(AVERAGE(Data!E1256), "  ")</f>
        <v xml:space="preserve">  </v>
      </c>
      <c r="F1254" s="42" t="str">
        <f>IFERROR(AVERAGE(Data!F1256), "  ")</f>
        <v xml:space="preserve">  </v>
      </c>
      <c r="G1254" s="42" t="str">
        <f>IFERROR(AVERAGE(Data!G1256), "  ")</f>
        <v xml:space="preserve">  </v>
      </c>
      <c r="H1254" s="44" t="str">
        <f>IFERROR(AVERAGE(Data!H1256), "  ")</f>
        <v xml:space="preserve">  </v>
      </c>
      <c r="I1254" s="44" t="str">
        <f>IFERROR(AVERAGE(Data!I1256), "  ")</f>
        <v xml:space="preserve">  </v>
      </c>
      <c r="J1254" s="42" t="str">
        <f>IFERROR(AVERAGE(Data!J1256), "  ")</f>
        <v xml:space="preserve">  </v>
      </c>
      <c r="K1254" s="44" t="str">
        <f>IFERROR(AVERAGE(Data!K1256), "  ")</f>
        <v xml:space="preserve">  </v>
      </c>
      <c r="L1254" s="45" t="str">
        <f>IFERROR(AVERAGE(Data!L1256), "  ")</f>
        <v xml:space="preserve">  </v>
      </c>
    </row>
    <row r="1255" spans="1:12" x14ac:dyDescent="0.2">
      <c r="A1255" s="43"/>
      <c r="B1255" s="42" t="str">
        <f>IFERROR(AVERAGE(Data!B1257), "  ")</f>
        <v xml:space="preserve">  </v>
      </c>
      <c r="C1255" s="42" t="str">
        <f>IFERROR(AVERAGE(Data!C1257), "  ")</f>
        <v xml:space="preserve">  </v>
      </c>
      <c r="D1255" s="42" t="str">
        <f>IFERROR(AVERAGE(Data!D1257), "  ")</f>
        <v xml:space="preserve">  </v>
      </c>
      <c r="E1255" s="42" t="str">
        <f>IFERROR(AVERAGE(Data!E1257), "  ")</f>
        <v xml:space="preserve">  </v>
      </c>
      <c r="F1255" s="42" t="str">
        <f>IFERROR(AVERAGE(Data!F1257), "  ")</f>
        <v xml:space="preserve">  </v>
      </c>
      <c r="G1255" s="42" t="str">
        <f>IFERROR(AVERAGE(Data!G1257), "  ")</f>
        <v xml:space="preserve">  </v>
      </c>
      <c r="H1255" s="44" t="str">
        <f>IFERROR(AVERAGE(Data!H1257), "  ")</f>
        <v xml:space="preserve">  </v>
      </c>
      <c r="I1255" s="44" t="str">
        <f>IFERROR(AVERAGE(Data!I1257), "  ")</f>
        <v xml:space="preserve">  </v>
      </c>
      <c r="J1255" s="42" t="str">
        <f>IFERROR(AVERAGE(Data!J1257), "  ")</f>
        <v xml:space="preserve">  </v>
      </c>
      <c r="K1255" s="44" t="str">
        <f>IFERROR(AVERAGE(Data!K1257), "  ")</f>
        <v xml:space="preserve">  </v>
      </c>
      <c r="L1255" s="45" t="str">
        <f>IFERROR(AVERAGE(Data!L1257), "  ")</f>
        <v xml:space="preserve">  </v>
      </c>
    </row>
    <row r="1256" spans="1:12" x14ac:dyDescent="0.2">
      <c r="A1256" s="43"/>
      <c r="B1256" s="42" t="str">
        <f>IFERROR(AVERAGE(Data!B1258), "  ")</f>
        <v xml:space="preserve">  </v>
      </c>
      <c r="C1256" s="42" t="str">
        <f>IFERROR(AVERAGE(Data!C1258), "  ")</f>
        <v xml:space="preserve">  </v>
      </c>
      <c r="D1256" s="42" t="str">
        <f>IFERROR(AVERAGE(Data!D1258), "  ")</f>
        <v xml:space="preserve">  </v>
      </c>
      <c r="E1256" s="42" t="str">
        <f>IFERROR(AVERAGE(Data!E1258), "  ")</f>
        <v xml:space="preserve">  </v>
      </c>
      <c r="F1256" s="42" t="str">
        <f>IFERROR(AVERAGE(Data!F1258), "  ")</f>
        <v xml:space="preserve">  </v>
      </c>
      <c r="G1256" s="42" t="str">
        <f>IFERROR(AVERAGE(Data!G1258), "  ")</f>
        <v xml:space="preserve">  </v>
      </c>
      <c r="H1256" s="44" t="str">
        <f>IFERROR(AVERAGE(Data!H1258), "  ")</f>
        <v xml:space="preserve">  </v>
      </c>
      <c r="I1256" s="44" t="str">
        <f>IFERROR(AVERAGE(Data!I1258), "  ")</f>
        <v xml:space="preserve">  </v>
      </c>
      <c r="J1256" s="42" t="str">
        <f>IFERROR(AVERAGE(Data!J1258), "  ")</f>
        <v xml:space="preserve">  </v>
      </c>
      <c r="K1256" s="44" t="str">
        <f>IFERROR(AVERAGE(Data!K1258), "  ")</f>
        <v xml:space="preserve">  </v>
      </c>
      <c r="L1256" s="45" t="str">
        <f>IFERROR(AVERAGE(Data!L1258), "  ")</f>
        <v xml:space="preserve">  </v>
      </c>
    </row>
    <row r="1257" spans="1:12" x14ac:dyDescent="0.2">
      <c r="A1257" s="43"/>
      <c r="B1257" s="42" t="str">
        <f>IFERROR(AVERAGE(Data!B1259), "  ")</f>
        <v xml:space="preserve">  </v>
      </c>
      <c r="C1257" s="42" t="str">
        <f>IFERROR(AVERAGE(Data!C1259), "  ")</f>
        <v xml:space="preserve">  </v>
      </c>
      <c r="D1257" s="42" t="str">
        <f>IFERROR(AVERAGE(Data!D1259), "  ")</f>
        <v xml:space="preserve">  </v>
      </c>
      <c r="E1257" s="42" t="str">
        <f>IFERROR(AVERAGE(Data!E1259), "  ")</f>
        <v xml:space="preserve">  </v>
      </c>
      <c r="F1257" s="42" t="str">
        <f>IFERROR(AVERAGE(Data!F1259), "  ")</f>
        <v xml:space="preserve">  </v>
      </c>
      <c r="G1257" s="42" t="str">
        <f>IFERROR(AVERAGE(Data!G1259), "  ")</f>
        <v xml:space="preserve">  </v>
      </c>
      <c r="H1257" s="44" t="str">
        <f>IFERROR(AVERAGE(Data!H1259), "  ")</f>
        <v xml:space="preserve">  </v>
      </c>
      <c r="I1257" s="44" t="str">
        <f>IFERROR(AVERAGE(Data!I1259), "  ")</f>
        <v xml:space="preserve">  </v>
      </c>
      <c r="J1257" s="42" t="str">
        <f>IFERROR(AVERAGE(Data!J1259), "  ")</f>
        <v xml:space="preserve">  </v>
      </c>
      <c r="K1257" s="44" t="str">
        <f>IFERROR(AVERAGE(Data!K1259), "  ")</f>
        <v xml:space="preserve">  </v>
      </c>
      <c r="L1257" s="45" t="str">
        <f>IFERROR(AVERAGE(Data!L1259), "  ")</f>
        <v xml:space="preserve">  </v>
      </c>
    </row>
    <row r="1258" spans="1:12" x14ac:dyDescent="0.2">
      <c r="A1258" s="43"/>
      <c r="B1258" s="42" t="str">
        <f>IFERROR(AVERAGE(Data!B1260), "  ")</f>
        <v xml:space="preserve">  </v>
      </c>
      <c r="C1258" s="42" t="str">
        <f>IFERROR(AVERAGE(Data!C1260), "  ")</f>
        <v xml:space="preserve">  </v>
      </c>
      <c r="D1258" s="42" t="str">
        <f>IFERROR(AVERAGE(Data!D1260), "  ")</f>
        <v xml:space="preserve">  </v>
      </c>
      <c r="E1258" s="42" t="str">
        <f>IFERROR(AVERAGE(Data!E1260), "  ")</f>
        <v xml:space="preserve">  </v>
      </c>
      <c r="F1258" s="42" t="str">
        <f>IFERROR(AVERAGE(Data!F1260), "  ")</f>
        <v xml:space="preserve">  </v>
      </c>
      <c r="G1258" s="42" t="str">
        <f>IFERROR(AVERAGE(Data!G1260), "  ")</f>
        <v xml:space="preserve">  </v>
      </c>
      <c r="H1258" s="44" t="str">
        <f>IFERROR(AVERAGE(Data!H1260), "  ")</f>
        <v xml:space="preserve">  </v>
      </c>
      <c r="I1258" s="44" t="str">
        <f>IFERROR(AVERAGE(Data!I1260), "  ")</f>
        <v xml:space="preserve">  </v>
      </c>
      <c r="J1258" s="42" t="str">
        <f>IFERROR(AVERAGE(Data!J1260), "  ")</f>
        <v xml:space="preserve">  </v>
      </c>
      <c r="K1258" s="44" t="str">
        <f>IFERROR(AVERAGE(Data!K1260), "  ")</f>
        <v xml:space="preserve">  </v>
      </c>
      <c r="L1258" s="45" t="str">
        <f>IFERROR(AVERAGE(Data!L1260), "  ")</f>
        <v xml:space="preserve">  </v>
      </c>
    </row>
    <row r="1259" spans="1:12" x14ac:dyDescent="0.2">
      <c r="A1259" s="43"/>
      <c r="B1259" s="42" t="str">
        <f>IFERROR(AVERAGE(Data!B1261), "  ")</f>
        <v xml:space="preserve">  </v>
      </c>
      <c r="C1259" s="42" t="str">
        <f>IFERROR(AVERAGE(Data!C1261), "  ")</f>
        <v xml:space="preserve">  </v>
      </c>
      <c r="D1259" s="42" t="str">
        <f>IFERROR(AVERAGE(Data!D1261), "  ")</f>
        <v xml:space="preserve">  </v>
      </c>
      <c r="E1259" s="42" t="str">
        <f>IFERROR(AVERAGE(Data!E1261), "  ")</f>
        <v xml:space="preserve">  </v>
      </c>
      <c r="F1259" s="42" t="str">
        <f>IFERROR(AVERAGE(Data!F1261), "  ")</f>
        <v xml:space="preserve">  </v>
      </c>
      <c r="G1259" s="42" t="str">
        <f>IFERROR(AVERAGE(Data!G1261), "  ")</f>
        <v xml:space="preserve">  </v>
      </c>
      <c r="H1259" s="44" t="str">
        <f>IFERROR(AVERAGE(Data!H1261), "  ")</f>
        <v xml:space="preserve">  </v>
      </c>
      <c r="I1259" s="44" t="str">
        <f>IFERROR(AVERAGE(Data!I1261), "  ")</f>
        <v xml:space="preserve">  </v>
      </c>
      <c r="J1259" s="42" t="str">
        <f>IFERROR(AVERAGE(Data!J1261), "  ")</f>
        <v xml:space="preserve">  </v>
      </c>
      <c r="K1259" s="44" t="str">
        <f>IFERROR(AVERAGE(Data!K1261), "  ")</f>
        <v xml:space="preserve">  </v>
      </c>
      <c r="L1259" s="45" t="str">
        <f>IFERROR(AVERAGE(Data!L1261), "  ")</f>
        <v xml:space="preserve">  </v>
      </c>
    </row>
    <row r="1260" spans="1:12" x14ac:dyDescent="0.2">
      <c r="A1260" s="43"/>
      <c r="B1260" s="42" t="str">
        <f>IFERROR(AVERAGE(Data!B1262), "  ")</f>
        <v xml:space="preserve">  </v>
      </c>
      <c r="C1260" s="42" t="str">
        <f>IFERROR(AVERAGE(Data!C1262), "  ")</f>
        <v xml:space="preserve">  </v>
      </c>
      <c r="D1260" s="42" t="str">
        <f>IFERROR(AVERAGE(Data!D1262), "  ")</f>
        <v xml:space="preserve">  </v>
      </c>
      <c r="E1260" s="42" t="str">
        <f>IFERROR(AVERAGE(Data!E1262), "  ")</f>
        <v xml:space="preserve">  </v>
      </c>
      <c r="F1260" s="42" t="str">
        <f>IFERROR(AVERAGE(Data!F1262), "  ")</f>
        <v xml:space="preserve">  </v>
      </c>
      <c r="G1260" s="42" t="str">
        <f>IFERROR(AVERAGE(Data!G1262), "  ")</f>
        <v xml:space="preserve">  </v>
      </c>
      <c r="H1260" s="44" t="str">
        <f>IFERROR(AVERAGE(Data!H1262), "  ")</f>
        <v xml:space="preserve">  </v>
      </c>
      <c r="I1260" s="44" t="str">
        <f>IFERROR(AVERAGE(Data!I1262), "  ")</f>
        <v xml:space="preserve">  </v>
      </c>
      <c r="J1260" s="42" t="str">
        <f>IFERROR(AVERAGE(Data!J1262), "  ")</f>
        <v xml:space="preserve">  </v>
      </c>
      <c r="K1260" s="44" t="str">
        <f>IFERROR(AVERAGE(Data!K1262), "  ")</f>
        <v xml:space="preserve">  </v>
      </c>
      <c r="L1260" s="45" t="str">
        <f>IFERROR(AVERAGE(Data!L1262), "  ")</f>
        <v xml:space="preserve">  </v>
      </c>
    </row>
    <row r="1261" spans="1:12" x14ac:dyDescent="0.2">
      <c r="A1261" s="43"/>
      <c r="B1261" s="42" t="str">
        <f>IFERROR(AVERAGE(Data!B1263), "  ")</f>
        <v xml:space="preserve">  </v>
      </c>
      <c r="C1261" s="42" t="str">
        <f>IFERROR(AVERAGE(Data!C1263), "  ")</f>
        <v xml:space="preserve">  </v>
      </c>
      <c r="D1261" s="42" t="str">
        <f>IFERROR(AVERAGE(Data!D1263), "  ")</f>
        <v xml:space="preserve">  </v>
      </c>
      <c r="E1261" s="42" t="str">
        <f>IFERROR(AVERAGE(Data!E1263), "  ")</f>
        <v xml:space="preserve">  </v>
      </c>
      <c r="F1261" s="42" t="str">
        <f>IFERROR(AVERAGE(Data!F1263), "  ")</f>
        <v xml:space="preserve">  </v>
      </c>
      <c r="G1261" s="42" t="str">
        <f>IFERROR(AVERAGE(Data!G1263), "  ")</f>
        <v xml:space="preserve">  </v>
      </c>
      <c r="H1261" s="44" t="str">
        <f>IFERROR(AVERAGE(Data!H1263), "  ")</f>
        <v xml:space="preserve">  </v>
      </c>
      <c r="I1261" s="44" t="str">
        <f>IFERROR(AVERAGE(Data!I1263), "  ")</f>
        <v xml:space="preserve">  </v>
      </c>
      <c r="J1261" s="42" t="str">
        <f>IFERROR(AVERAGE(Data!J1263), "  ")</f>
        <v xml:space="preserve">  </v>
      </c>
      <c r="K1261" s="44" t="str">
        <f>IFERROR(AVERAGE(Data!K1263), "  ")</f>
        <v xml:space="preserve">  </v>
      </c>
      <c r="L1261" s="45" t="str">
        <f>IFERROR(AVERAGE(Data!L1263), "  ")</f>
        <v xml:space="preserve">  </v>
      </c>
    </row>
    <row r="1262" spans="1:12" x14ac:dyDescent="0.2">
      <c r="A1262" s="43"/>
      <c r="B1262" s="42" t="str">
        <f>IFERROR(AVERAGE(Data!B1264), "  ")</f>
        <v xml:space="preserve">  </v>
      </c>
      <c r="C1262" s="42" t="str">
        <f>IFERROR(AVERAGE(Data!C1264), "  ")</f>
        <v xml:space="preserve">  </v>
      </c>
      <c r="D1262" s="42" t="str">
        <f>IFERROR(AVERAGE(Data!D1264), "  ")</f>
        <v xml:space="preserve">  </v>
      </c>
      <c r="E1262" s="42" t="str">
        <f>IFERROR(AVERAGE(Data!E1264), "  ")</f>
        <v xml:space="preserve">  </v>
      </c>
      <c r="F1262" s="42" t="str">
        <f>IFERROR(AVERAGE(Data!F1264), "  ")</f>
        <v xml:space="preserve">  </v>
      </c>
      <c r="G1262" s="42" t="str">
        <f>IFERROR(AVERAGE(Data!G1264), "  ")</f>
        <v xml:space="preserve">  </v>
      </c>
      <c r="H1262" s="44" t="str">
        <f>IFERROR(AVERAGE(Data!H1264), "  ")</f>
        <v xml:space="preserve">  </v>
      </c>
      <c r="I1262" s="44" t="str">
        <f>IFERROR(AVERAGE(Data!I1264), "  ")</f>
        <v xml:space="preserve">  </v>
      </c>
      <c r="J1262" s="42" t="str">
        <f>IFERROR(AVERAGE(Data!J1264), "  ")</f>
        <v xml:space="preserve">  </v>
      </c>
      <c r="K1262" s="44" t="str">
        <f>IFERROR(AVERAGE(Data!K1264), "  ")</f>
        <v xml:space="preserve">  </v>
      </c>
      <c r="L1262" s="45" t="str">
        <f>IFERROR(AVERAGE(Data!L1264), "  ")</f>
        <v xml:space="preserve">  </v>
      </c>
    </row>
    <row r="1263" spans="1:12" x14ac:dyDescent="0.2">
      <c r="A1263" s="43"/>
      <c r="B1263" s="42" t="str">
        <f>IFERROR(AVERAGE(Data!B1265), "  ")</f>
        <v xml:space="preserve">  </v>
      </c>
      <c r="C1263" s="42" t="str">
        <f>IFERROR(AVERAGE(Data!C1265), "  ")</f>
        <v xml:space="preserve">  </v>
      </c>
      <c r="D1263" s="42" t="str">
        <f>IFERROR(AVERAGE(Data!D1265), "  ")</f>
        <v xml:space="preserve">  </v>
      </c>
      <c r="E1263" s="42" t="str">
        <f>IFERROR(AVERAGE(Data!E1265), "  ")</f>
        <v xml:space="preserve">  </v>
      </c>
      <c r="F1263" s="42" t="str">
        <f>IFERROR(AVERAGE(Data!F1265), "  ")</f>
        <v xml:space="preserve">  </v>
      </c>
      <c r="G1263" s="42" t="str">
        <f>IFERROR(AVERAGE(Data!G1265), "  ")</f>
        <v xml:space="preserve">  </v>
      </c>
      <c r="H1263" s="44" t="str">
        <f>IFERROR(AVERAGE(Data!H1265), "  ")</f>
        <v xml:space="preserve">  </v>
      </c>
      <c r="I1263" s="44" t="str">
        <f>IFERROR(AVERAGE(Data!I1265), "  ")</f>
        <v xml:space="preserve">  </v>
      </c>
      <c r="J1263" s="42" t="str">
        <f>IFERROR(AVERAGE(Data!J1265), "  ")</f>
        <v xml:space="preserve">  </v>
      </c>
      <c r="K1263" s="44" t="str">
        <f>IFERROR(AVERAGE(Data!K1265), "  ")</f>
        <v xml:space="preserve">  </v>
      </c>
      <c r="L1263" s="45" t="str">
        <f>IFERROR(AVERAGE(Data!L1265), "  ")</f>
        <v xml:space="preserve">  </v>
      </c>
    </row>
    <row r="1264" spans="1:12" x14ac:dyDescent="0.2">
      <c r="A1264" s="43"/>
      <c r="B1264" s="42" t="str">
        <f>IFERROR(AVERAGE(Data!B1266), "  ")</f>
        <v xml:space="preserve">  </v>
      </c>
      <c r="C1264" s="42" t="str">
        <f>IFERROR(AVERAGE(Data!C1266), "  ")</f>
        <v xml:space="preserve">  </v>
      </c>
      <c r="D1264" s="42" t="str">
        <f>IFERROR(AVERAGE(Data!D1266), "  ")</f>
        <v xml:space="preserve">  </v>
      </c>
      <c r="E1264" s="42" t="str">
        <f>IFERROR(AVERAGE(Data!E1266), "  ")</f>
        <v xml:space="preserve">  </v>
      </c>
      <c r="F1264" s="42" t="str">
        <f>IFERROR(AVERAGE(Data!F1266), "  ")</f>
        <v xml:space="preserve">  </v>
      </c>
      <c r="G1264" s="42" t="str">
        <f>IFERROR(AVERAGE(Data!G1266), "  ")</f>
        <v xml:space="preserve">  </v>
      </c>
      <c r="H1264" s="44" t="str">
        <f>IFERROR(AVERAGE(Data!H1266), "  ")</f>
        <v xml:space="preserve">  </v>
      </c>
      <c r="I1264" s="44" t="str">
        <f>IFERROR(AVERAGE(Data!I1266), "  ")</f>
        <v xml:space="preserve">  </v>
      </c>
      <c r="J1264" s="42" t="str">
        <f>IFERROR(AVERAGE(Data!J1266), "  ")</f>
        <v xml:space="preserve">  </v>
      </c>
      <c r="K1264" s="44" t="str">
        <f>IFERROR(AVERAGE(Data!K1266), "  ")</f>
        <v xml:space="preserve">  </v>
      </c>
      <c r="L1264" s="45" t="str">
        <f>IFERROR(AVERAGE(Data!L1266), "  ")</f>
        <v xml:space="preserve">  </v>
      </c>
    </row>
    <row r="1265" spans="1:12" x14ac:dyDescent="0.2">
      <c r="A1265" s="43"/>
      <c r="B1265" s="42" t="str">
        <f>IFERROR(AVERAGE(Data!B1267), "  ")</f>
        <v xml:space="preserve">  </v>
      </c>
      <c r="C1265" s="42" t="str">
        <f>IFERROR(AVERAGE(Data!C1267), "  ")</f>
        <v xml:space="preserve">  </v>
      </c>
      <c r="D1265" s="42" t="str">
        <f>IFERROR(AVERAGE(Data!D1267), "  ")</f>
        <v xml:space="preserve">  </v>
      </c>
      <c r="E1265" s="42" t="str">
        <f>IFERROR(AVERAGE(Data!E1267), "  ")</f>
        <v xml:space="preserve">  </v>
      </c>
      <c r="F1265" s="42" t="str">
        <f>IFERROR(AVERAGE(Data!F1267), "  ")</f>
        <v xml:space="preserve">  </v>
      </c>
      <c r="G1265" s="42" t="str">
        <f>IFERROR(AVERAGE(Data!G1267), "  ")</f>
        <v xml:space="preserve">  </v>
      </c>
      <c r="H1265" s="44" t="str">
        <f>IFERROR(AVERAGE(Data!H1267), "  ")</f>
        <v xml:space="preserve">  </v>
      </c>
      <c r="I1265" s="44" t="str">
        <f>IFERROR(AVERAGE(Data!I1267), "  ")</f>
        <v xml:space="preserve">  </v>
      </c>
      <c r="J1265" s="42" t="str">
        <f>IFERROR(AVERAGE(Data!J1267), "  ")</f>
        <v xml:space="preserve">  </v>
      </c>
      <c r="K1265" s="44" t="str">
        <f>IFERROR(AVERAGE(Data!K1267), "  ")</f>
        <v xml:space="preserve">  </v>
      </c>
      <c r="L1265" s="45" t="str">
        <f>IFERROR(AVERAGE(Data!L1267), "  ")</f>
        <v xml:space="preserve">  </v>
      </c>
    </row>
    <row r="1266" spans="1:12" x14ac:dyDescent="0.2">
      <c r="A1266" s="43"/>
      <c r="B1266" s="42" t="str">
        <f>IFERROR(AVERAGE(Data!B1268), "  ")</f>
        <v xml:space="preserve">  </v>
      </c>
      <c r="C1266" s="42" t="str">
        <f>IFERROR(AVERAGE(Data!C1268), "  ")</f>
        <v xml:space="preserve">  </v>
      </c>
      <c r="D1266" s="42" t="str">
        <f>IFERROR(AVERAGE(Data!D1268), "  ")</f>
        <v xml:space="preserve">  </v>
      </c>
      <c r="E1266" s="42" t="str">
        <f>IFERROR(AVERAGE(Data!E1268), "  ")</f>
        <v xml:space="preserve">  </v>
      </c>
      <c r="F1266" s="42" t="str">
        <f>IFERROR(AVERAGE(Data!F1268), "  ")</f>
        <v xml:space="preserve">  </v>
      </c>
      <c r="G1266" s="42" t="str">
        <f>IFERROR(AVERAGE(Data!G1268), "  ")</f>
        <v xml:space="preserve">  </v>
      </c>
      <c r="H1266" s="44" t="str">
        <f>IFERROR(AVERAGE(Data!H1268), "  ")</f>
        <v xml:space="preserve">  </v>
      </c>
      <c r="I1266" s="44" t="str">
        <f>IFERROR(AVERAGE(Data!I1268), "  ")</f>
        <v xml:space="preserve">  </v>
      </c>
      <c r="J1266" s="42" t="str">
        <f>IFERROR(AVERAGE(Data!J1268), "  ")</f>
        <v xml:space="preserve">  </v>
      </c>
      <c r="K1266" s="44" t="str">
        <f>IFERROR(AVERAGE(Data!K1268), "  ")</f>
        <v xml:space="preserve">  </v>
      </c>
      <c r="L1266" s="45" t="str">
        <f>IFERROR(AVERAGE(Data!L1268), "  ")</f>
        <v xml:space="preserve">  </v>
      </c>
    </row>
    <row r="1267" spans="1:12" x14ac:dyDescent="0.2">
      <c r="A1267" s="43"/>
      <c r="B1267" s="42" t="str">
        <f>IFERROR(AVERAGE(Data!B1269), "  ")</f>
        <v xml:space="preserve">  </v>
      </c>
      <c r="C1267" s="42" t="str">
        <f>IFERROR(AVERAGE(Data!C1269), "  ")</f>
        <v xml:space="preserve">  </v>
      </c>
      <c r="D1267" s="42" t="str">
        <f>IFERROR(AVERAGE(Data!D1269), "  ")</f>
        <v xml:space="preserve">  </v>
      </c>
      <c r="E1267" s="42" t="str">
        <f>IFERROR(AVERAGE(Data!E1269), "  ")</f>
        <v xml:space="preserve">  </v>
      </c>
      <c r="F1267" s="42" t="str">
        <f>IFERROR(AVERAGE(Data!F1269), "  ")</f>
        <v xml:space="preserve">  </v>
      </c>
      <c r="G1267" s="42" t="str">
        <f>IFERROR(AVERAGE(Data!G1269), "  ")</f>
        <v xml:space="preserve">  </v>
      </c>
      <c r="H1267" s="44" t="str">
        <f>IFERROR(AVERAGE(Data!H1269), "  ")</f>
        <v xml:space="preserve">  </v>
      </c>
      <c r="I1267" s="44" t="str">
        <f>IFERROR(AVERAGE(Data!I1269), "  ")</f>
        <v xml:space="preserve">  </v>
      </c>
      <c r="J1267" s="42" t="str">
        <f>IFERROR(AVERAGE(Data!J1269), "  ")</f>
        <v xml:space="preserve">  </v>
      </c>
      <c r="K1267" s="44" t="str">
        <f>IFERROR(AVERAGE(Data!K1269), "  ")</f>
        <v xml:space="preserve">  </v>
      </c>
      <c r="L1267" s="45" t="str">
        <f>IFERROR(AVERAGE(Data!L1269), "  ")</f>
        <v xml:space="preserve">  </v>
      </c>
    </row>
    <row r="1268" spans="1:12" x14ac:dyDescent="0.2">
      <c r="A1268" s="43"/>
      <c r="B1268" s="42" t="str">
        <f>IFERROR(AVERAGE(Data!B1270), "  ")</f>
        <v xml:space="preserve">  </v>
      </c>
      <c r="C1268" s="42" t="str">
        <f>IFERROR(AVERAGE(Data!C1270), "  ")</f>
        <v xml:space="preserve">  </v>
      </c>
      <c r="D1268" s="42" t="str">
        <f>IFERROR(AVERAGE(Data!D1270), "  ")</f>
        <v xml:space="preserve">  </v>
      </c>
      <c r="E1268" s="42" t="str">
        <f>IFERROR(AVERAGE(Data!E1270), "  ")</f>
        <v xml:space="preserve">  </v>
      </c>
      <c r="F1268" s="42" t="str">
        <f>IFERROR(AVERAGE(Data!F1270), "  ")</f>
        <v xml:space="preserve">  </v>
      </c>
      <c r="G1268" s="42" t="str">
        <f>IFERROR(AVERAGE(Data!G1270), "  ")</f>
        <v xml:space="preserve">  </v>
      </c>
      <c r="H1268" s="44" t="str">
        <f>IFERROR(AVERAGE(Data!H1270), "  ")</f>
        <v xml:space="preserve">  </v>
      </c>
      <c r="I1268" s="44" t="str">
        <f>IFERROR(AVERAGE(Data!I1270), "  ")</f>
        <v xml:space="preserve">  </v>
      </c>
      <c r="J1268" s="42" t="str">
        <f>IFERROR(AVERAGE(Data!J1270), "  ")</f>
        <v xml:space="preserve">  </v>
      </c>
      <c r="K1268" s="44" t="str">
        <f>IFERROR(AVERAGE(Data!K1270), "  ")</f>
        <v xml:space="preserve">  </v>
      </c>
      <c r="L1268" s="45" t="str">
        <f>IFERROR(AVERAGE(Data!L1270), "  ")</f>
        <v xml:space="preserve">  </v>
      </c>
    </row>
    <row r="1269" spans="1:12" x14ac:dyDescent="0.2">
      <c r="A1269" s="43"/>
      <c r="B1269" s="42" t="str">
        <f>IFERROR(AVERAGE(Data!B1271), "  ")</f>
        <v xml:space="preserve">  </v>
      </c>
      <c r="C1269" s="42" t="str">
        <f>IFERROR(AVERAGE(Data!C1271), "  ")</f>
        <v xml:space="preserve">  </v>
      </c>
      <c r="D1269" s="42" t="str">
        <f>IFERROR(AVERAGE(Data!D1271), "  ")</f>
        <v xml:space="preserve">  </v>
      </c>
      <c r="E1269" s="42" t="str">
        <f>IFERROR(AVERAGE(Data!E1271), "  ")</f>
        <v xml:space="preserve">  </v>
      </c>
      <c r="F1269" s="42" t="str">
        <f>IFERROR(AVERAGE(Data!F1271), "  ")</f>
        <v xml:space="preserve">  </v>
      </c>
      <c r="G1269" s="42" t="str">
        <f>IFERROR(AVERAGE(Data!G1271), "  ")</f>
        <v xml:space="preserve">  </v>
      </c>
      <c r="H1269" s="44" t="str">
        <f>IFERROR(AVERAGE(Data!H1271), "  ")</f>
        <v xml:space="preserve">  </v>
      </c>
      <c r="I1269" s="44" t="str">
        <f>IFERROR(AVERAGE(Data!I1271), "  ")</f>
        <v xml:space="preserve">  </v>
      </c>
      <c r="J1269" s="42" t="str">
        <f>IFERROR(AVERAGE(Data!J1271), "  ")</f>
        <v xml:space="preserve">  </v>
      </c>
      <c r="K1269" s="44" t="str">
        <f>IFERROR(AVERAGE(Data!K1271), "  ")</f>
        <v xml:space="preserve">  </v>
      </c>
      <c r="L1269" s="45" t="str">
        <f>IFERROR(AVERAGE(Data!L1271), "  ")</f>
        <v xml:space="preserve">  </v>
      </c>
    </row>
    <row r="1270" spans="1:12" x14ac:dyDescent="0.2">
      <c r="A1270" s="43"/>
      <c r="B1270" s="42" t="str">
        <f>IFERROR(AVERAGE(Data!B1272), "  ")</f>
        <v xml:space="preserve">  </v>
      </c>
      <c r="C1270" s="42" t="str">
        <f>IFERROR(AVERAGE(Data!C1272), "  ")</f>
        <v xml:space="preserve">  </v>
      </c>
      <c r="D1270" s="42" t="str">
        <f>IFERROR(AVERAGE(Data!D1272), "  ")</f>
        <v xml:space="preserve">  </v>
      </c>
      <c r="E1270" s="42" t="str">
        <f>IFERROR(AVERAGE(Data!E1272), "  ")</f>
        <v xml:space="preserve">  </v>
      </c>
      <c r="F1270" s="42" t="str">
        <f>IFERROR(AVERAGE(Data!F1272), "  ")</f>
        <v xml:space="preserve">  </v>
      </c>
      <c r="G1270" s="42" t="str">
        <f>IFERROR(AVERAGE(Data!G1272), "  ")</f>
        <v xml:space="preserve">  </v>
      </c>
      <c r="H1270" s="44" t="str">
        <f>IFERROR(AVERAGE(Data!H1272), "  ")</f>
        <v xml:space="preserve">  </v>
      </c>
      <c r="I1270" s="44" t="str">
        <f>IFERROR(AVERAGE(Data!I1272), "  ")</f>
        <v xml:space="preserve">  </v>
      </c>
      <c r="J1270" s="42" t="str">
        <f>IFERROR(AVERAGE(Data!J1272), "  ")</f>
        <v xml:space="preserve">  </v>
      </c>
      <c r="K1270" s="44" t="str">
        <f>IFERROR(AVERAGE(Data!K1272), "  ")</f>
        <v xml:space="preserve">  </v>
      </c>
      <c r="L1270" s="45" t="str">
        <f>IFERROR(AVERAGE(Data!L1272), "  ")</f>
        <v xml:space="preserve">  </v>
      </c>
    </row>
    <row r="1271" spans="1:12" x14ac:dyDescent="0.2">
      <c r="A1271" s="43"/>
      <c r="B1271" s="42" t="str">
        <f>IFERROR(AVERAGE(Data!B1273), "  ")</f>
        <v xml:space="preserve">  </v>
      </c>
      <c r="C1271" s="42" t="str">
        <f>IFERROR(AVERAGE(Data!C1273), "  ")</f>
        <v xml:space="preserve">  </v>
      </c>
      <c r="D1271" s="42" t="str">
        <f>IFERROR(AVERAGE(Data!D1273), "  ")</f>
        <v xml:space="preserve">  </v>
      </c>
      <c r="E1271" s="42" t="str">
        <f>IFERROR(AVERAGE(Data!E1273), "  ")</f>
        <v xml:space="preserve">  </v>
      </c>
      <c r="F1271" s="42" t="str">
        <f>IFERROR(AVERAGE(Data!F1273), "  ")</f>
        <v xml:space="preserve">  </v>
      </c>
      <c r="G1271" s="42" t="str">
        <f>IFERROR(AVERAGE(Data!G1273), "  ")</f>
        <v xml:space="preserve">  </v>
      </c>
      <c r="H1271" s="44" t="str">
        <f>IFERROR(AVERAGE(Data!H1273), "  ")</f>
        <v xml:space="preserve">  </v>
      </c>
      <c r="I1271" s="44" t="str">
        <f>IFERROR(AVERAGE(Data!I1273), "  ")</f>
        <v xml:space="preserve">  </v>
      </c>
      <c r="J1271" s="42" t="str">
        <f>IFERROR(AVERAGE(Data!J1273), "  ")</f>
        <v xml:space="preserve">  </v>
      </c>
      <c r="K1271" s="44" t="str">
        <f>IFERROR(AVERAGE(Data!K1273), "  ")</f>
        <v xml:space="preserve">  </v>
      </c>
      <c r="L1271" s="45" t="str">
        <f>IFERROR(AVERAGE(Data!L1273), "  ")</f>
        <v xml:space="preserve">  </v>
      </c>
    </row>
    <row r="1272" spans="1:12" x14ac:dyDescent="0.2">
      <c r="A1272" s="43"/>
      <c r="B1272" s="42" t="str">
        <f>IFERROR(AVERAGE(Data!B1274), "  ")</f>
        <v xml:space="preserve">  </v>
      </c>
      <c r="C1272" s="42" t="str">
        <f>IFERROR(AVERAGE(Data!C1274), "  ")</f>
        <v xml:space="preserve">  </v>
      </c>
      <c r="D1272" s="42" t="str">
        <f>IFERROR(AVERAGE(Data!D1274), "  ")</f>
        <v xml:space="preserve">  </v>
      </c>
      <c r="E1272" s="42" t="str">
        <f>IFERROR(AVERAGE(Data!E1274), "  ")</f>
        <v xml:space="preserve">  </v>
      </c>
      <c r="F1272" s="42" t="str">
        <f>IFERROR(AVERAGE(Data!F1274), "  ")</f>
        <v xml:space="preserve">  </v>
      </c>
      <c r="G1272" s="42" t="str">
        <f>IFERROR(AVERAGE(Data!G1274), "  ")</f>
        <v xml:space="preserve">  </v>
      </c>
      <c r="H1272" s="44" t="str">
        <f>IFERROR(AVERAGE(Data!H1274), "  ")</f>
        <v xml:space="preserve">  </v>
      </c>
      <c r="I1272" s="44" t="str">
        <f>IFERROR(AVERAGE(Data!I1274), "  ")</f>
        <v xml:space="preserve">  </v>
      </c>
      <c r="J1272" s="42" t="str">
        <f>IFERROR(AVERAGE(Data!J1274), "  ")</f>
        <v xml:space="preserve">  </v>
      </c>
      <c r="K1272" s="44" t="str">
        <f>IFERROR(AVERAGE(Data!K1274), "  ")</f>
        <v xml:space="preserve">  </v>
      </c>
      <c r="L1272" s="45" t="str">
        <f>IFERROR(AVERAGE(Data!L1274), "  ")</f>
        <v xml:space="preserve">  </v>
      </c>
    </row>
    <row r="1273" spans="1:12" x14ac:dyDescent="0.2">
      <c r="A1273" s="43"/>
      <c r="B1273" s="42" t="str">
        <f>IFERROR(AVERAGE(Data!B1275), "  ")</f>
        <v xml:space="preserve">  </v>
      </c>
      <c r="C1273" s="42" t="str">
        <f>IFERROR(AVERAGE(Data!C1275), "  ")</f>
        <v xml:space="preserve">  </v>
      </c>
      <c r="D1273" s="42" t="str">
        <f>IFERROR(AVERAGE(Data!D1275), "  ")</f>
        <v xml:space="preserve">  </v>
      </c>
      <c r="E1273" s="42" t="str">
        <f>IFERROR(AVERAGE(Data!E1275), "  ")</f>
        <v xml:space="preserve">  </v>
      </c>
      <c r="F1273" s="42" t="str">
        <f>IFERROR(AVERAGE(Data!F1275), "  ")</f>
        <v xml:space="preserve">  </v>
      </c>
      <c r="G1273" s="42" t="str">
        <f>IFERROR(AVERAGE(Data!G1275), "  ")</f>
        <v xml:space="preserve">  </v>
      </c>
      <c r="H1273" s="44" t="str">
        <f>IFERROR(AVERAGE(Data!H1275), "  ")</f>
        <v xml:space="preserve">  </v>
      </c>
      <c r="I1273" s="44" t="str">
        <f>IFERROR(AVERAGE(Data!I1275), "  ")</f>
        <v xml:space="preserve">  </v>
      </c>
      <c r="J1273" s="42" t="str">
        <f>IFERROR(AVERAGE(Data!J1275), "  ")</f>
        <v xml:space="preserve">  </v>
      </c>
      <c r="K1273" s="44" t="str">
        <f>IFERROR(AVERAGE(Data!K1275), "  ")</f>
        <v xml:space="preserve">  </v>
      </c>
      <c r="L1273" s="45" t="str">
        <f>IFERROR(AVERAGE(Data!L1275), "  ")</f>
        <v xml:space="preserve">  </v>
      </c>
    </row>
    <row r="1274" spans="1:12" x14ac:dyDescent="0.2">
      <c r="A1274" s="43"/>
      <c r="B1274" s="42" t="str">
        <f>IFERROR(AVERAGE(Data!B1276), "  ")</f>
        <v xml:space="preserve">  </v>
      </c>
      <c r="C1274" s="42" t="str">
        <f>IFERROR(AVERAGE(Data!C1276), "  ")</f>
        <v xml:space="preserve">  </v>
      </c>
      <c r="D1274" s="42" t="str">
        <f>IFERROR(AVERAGE(Data!D1276), "  ")</f>
        <v xml:space="preserve">  </v>
      </c>
      <c r="E1274" s="42" t="str">
        <f>IFERROR(AVERAGE(Data!E1276), "  ")</f>
        <v xml:space="preserve">  </v>
      </c>
      <c r="F1274" s="42" t="str">
        <f>IFERROR(AVERAGE(Data!F1276), "  ")</f>
        <v xml:space="preserve">  </v>
      </c>
      <c r="G1274" s="42" t="str">
        <f>IFERROR(AVERAGE(Data!G1276), "  ")</f>
        <v xml:space="preserve">  </v>
      </c>
      <c r="H1274" s="44" t="str">
        <f>IFERROR(AVERAGE(Data!H1276), "  ")</f>
        <v xml:space="preserve">  </v>
      </c>
      <c r="I1274" s="44" t="str">
        <f>IFERROR(AVERAGE(Data!I1276), "  ")</f>
        <v xml:space="preserve">  </v>
      </c>
      <c r="J1274" s="42" t="str">
        <f>IFERROR(AVERAGE(Data!J1276), "  ")</f>
        <v xml:space="preserve">  </v>
      </c>
      <c r="K1274" s="44" t="str">
        <f>IFERROR(AVERAGE(Data!K1276), "  ")</f>
        <v xml:space="preserve">  </v>
      </c>
      <c r="L1274" s="45" t="str">
        <f>IFERROR(AVERAGE(Data!L1276), "  ")</f>
        <v xml:space="preserve">  </v>
      </c>
    </row>
    <row r="1275" spans="1:12" x14ac:dyDescent="0.2">
      <c r="A1275" s="43"/>
      <c r="B1275" s="42" t="str">
        <f>IFERROR(AVERAGE(Data!B1277), "  ")</f>
        <v xml:space="preserve">  </v>
      </c>
      <c r="C1275" s="42" t="str">
        <f>IFERROR(AVERAGE(Data!C1277), "  ")</f>
        <v xml:space="preserve">  </v>
      </c>
      <c r="D1275" s="42" t="str">
        <f>IFERROR(AVERAGE(Data!D1277), "  ")</f>
        <v xml:space="preserve">  </v>
      </c>
      <c r="E1275" s="42" t="str">
        <f>IFERROR(AVERAGE(Data!E1277), "  ")</f>
        <v xml:space="preserve">  </v>
      </c>
      <c r="F1275" s="42" t="str">
        <f>IFERROR(AVERAGE(Data!F1277), "  ")</f>
        <v xml:space="preserve">  </v>
      </c>
      <c r="G1275" s="42" t="str">
        <f>IFERROR(AVERAGE(Data!G1277), "  ")</f>
        <v xml:space="preserve">  </v>
      </c>
      <c r="H1275" s="44" t="str">
        <f>IFERROR(AVERAGE(Data!H1277), "  ")</f>
        <v xml:space="preserve">  </v>
      </c>
      <c r="I1275" s="44" t="str">
        <f>IFERROR(AVERAGE(Data!I1277), "  ")</f>
        <v xml:space="preserve">  </v>
      </c>
      <c r="J1275" s="42" t="str">
        <f>IFERROR(AVERAGE(Data!J1277), "  ")</f>
        <v xml:space="preserve">  </v>
      </c>
      <c r="K1275" s="44" t="str">
        <f>IFERROR(AVERAGE(Data!K1277), "  ")</f>
        <v xml:space="preserve">  </v>
      </c>
      <c r="L1275" s="45" t="str">
        <f>IFERROR(AVERAGE(Data!L1277), "  ")</f>
        <v xml:space="preserve">  </v>
      </c>
    </row>
    <row r="1276" spans="1:12" x14ac:dyDescent="0.2">
      <c r="A1276" s="43"/>
      <c r="B1276" s="42" t="str">
        <f>IFERROR(AVERAGE(Data!B1278), "  ")</f>
        <v xml:space="preserve">  </v>
      </c>
      <c r="C1276" s="42" t="str">
        <f>IFERROR(AVERAGE(Data!C1278), "  ")</f>
        <v xml:space="preserve">  </v>
      </c>
      <c r="D1276" s="42" t="str">
        <f>IFERROR(AVERAGE(Data!D1278), "  ")</f>
        <v xml:space="preserve">  </v>
      </c>
      <c r="E1276" s="42" t="str">
        <f>IFERROR(AVERAGE(Data!E1278), "  ")</f>
        <v xml:space="preserve">  </v>
      </c>
      <c r="F1276" s="42" t="str">
        <f>IFERROR(AVERAGE(Data!F1278), "  ")</f>
        <v xml:space="preserve">  </v>
      </c>
      <c r="G1276" s="42" t="str">
        <f>IFERROR(AVERAGE(Data!G1278), "  ")</f>
        <v xml:space="preserve">  </v>
      </c>
      <c r="H1276" s="44" t="str">
        <f>IFERROR(AVERAGE(Data!H1278), "  ")</f>
        <v xml:space="preserve">  </v>
      </c>
      <c r="I1276" s="44" t="str">
        <f>IFERROR(AVERAGE(Data!I1278), "  ")</f>
        <v xml:space="preserve">  </v>
      </c>
      <c r="J1276" s="42" t="str">
        <f>IFERROR(AVERAGE(Data!J1278), "  ")</f>
        <v xml:space="preserve">  </v>
      </c>
      <c r="K1276" s="44" t="str">
        <f>IFERROR(AVERAGE(Data!K1278), "  ")</f>
        <v xml:space="preserve">  </v>
      </c>
      <c r="L1276" s="45" t="str">
        <f>IFERROR(AVERAGE(Data!L1278), "  ")</f>
        <v xml:space="preserve">  </v>
      </c>
    </row>
    <row r="1277" spans="1:12" x14ac:dyDescent="0.2">
      <c r="A1277" s="43"/>
      <c r="B1277" s="42" t="str">
        <f>IFERROR(AVERAGE(Data!B1279), "  ")</f>
        <v xml:space="preserve">  </v>
      </c>
      <c r="C1277" s="42" t="str">
        <f>IFERROR(AVERAGE(Data!C1279), "  ")</f>
        <v xml:space="preserve">  </v>
      </c>
      <c r="D1277" s="42" t="str">
        <f>IFERROR(AVERAGE(Data!D1279), "  ")</f>
        <v xml:space="preserve">  </v>
      </c>
      <c r="E1277" s="42" t="str">
        <f>IFERROR(AVERAGE(Data!E1279), "  ")</f>
        <v xml:space="preserve">  </v>
      </c>
      <c r="F1277" s="42" t="str">
        <f>IFERROR(AVERAGE(Data!F1279), "  ")</f>
        <v xml:space="preserve">  </v>
      </c>
      <c r="G1277" s="42" t="str">
        <f>IFERROR(AVERAGE(Data!G1279), "  ")</f>
        <v xml:space="preserve">  </v>
      </c>
      <c r="H1277" s="44" t="str">
        <f>IFERROR(AVERAGE(Data!H1279), "  ")</f>
        <v xml:space="preserve">  </v>
      </c>
      <c r="I1277" s="44" t="str">
        <f>IFERROR(AVERAGE(Data!I1279), "  ")</f>
        <v xml:space="preserve">  </v>
      </c>
      <c r="J1277" s="42" t="str">
        <f>IFERROR(AVERAGE(Data!J1279), "  ")</f>
        <v xml:space="preserve">  </v>
      </c>
      <c r="K1277" s="44" t="str">
        <f>IFERROR(AVERAGE(Data!K1279), "  ")</f>
        <v xml:space="preserve">  </v>
      </c>
      <c r="L1277" s="45" t="str">
        <f>IFERROR(AVERAGE(Data!L1279), "  ")</f>
        <v xml:space="preserve">  </v>
      </c>
    </row>
    <row r="1278" spans="1:12" x14ac:dyDescent="0.2">
      <c r="A1278" s="43"/>
      <c r="B1278" s="42" t="str">
        <f>IFERROR(AVERAGE(Data!B1280), "  ")</f>
        <v xml:space="preserve">  </v>
      </c>
      <c r="C1278" s="42" t="str">
        <f>IFERROR(AVERAGE(Data!C1280), "  ")</f>
        <v xml:space="preserve">  </v>
      </c>
      <c r="D1278" s="42" t="str">
        <f>IFERROR(AVERAGE(Data!D1280), "  ")</f>
        <v xml:space="preserve">  </v>
      </c>
      <c r="E1278" s="42" t="str">
        <f>IFERROR(AVERAGE(Data!E1280), "  ")</f>
        <v xml:space="preserve">  </v>
      </c>
      <c r="F1278" s="42" t="str">
        <f>IFERROR(AVERAGE(Data!F1280), "  ")</f>
        <v xml:space="preserve">  </v>
      </c>
      <c r="G1278" s="42" t="str">
        <f>IFERROR(AVERAGE(Data!G1280), "  ")</f>
        <v xml:space="preserve">  </v>
      </c>
      <c r="H1278" s="44" t="str">
        <f>IFERROR(AVERAGE(Data!H1280), "  ")</f>
        <v xml:space="preserve">  </v>
      </c>
      <c r="I1278" s="44" t="str">
        <f>IFERROR(AVERAGE(Data!I1280), "  ")</f>
        <v xml:space="preserve">  </v>
      </c>
      <c r="J1278" s="42" t="str">
        <f>IFERROR(AVERAGE(Data!J1280), "  ")</f>
        <v xml:space="preserve">  </v>
      </c>
      <c r="K1278" s="44" t="str">
        <f>IFERROR(AVERAGE(Data!K1280), "  ")</f>
        <v xml:space="preserve">  </v>
      </c>
      <c r="L1278" s="45" t="str">
        <f>IFERROR(AVERAGE(Data!L1280), "  ")</f>
        <v xml:space="preserve">  </v>
      </c>
    </row>
    <row r="1279" spans="1:12" x14ac:dyDescent="0.2">
      <c r="A1279" s="43"/>
      <c r="B1279" s="42" t="str">
        <f>IFERROR(AVERAGE(Data!B1281), "  ")</f>
        <v xml:space="preserve">  </v>
      </c>
      <c r="C1279" s="42" t="str">
        <f>IFERROR(AVERAGE(Data!C1281), "  ")</f>
        <v xml:space="preserve">  </v>
      </c>
      <c r="D1279" s="42" t="str">
        <f>IFERROR(AVERAGE(Data!D1281), "  ")</f>
        <v xml:space="preserve">  </v>
      </c>
      <c r="E1279" s="42" t="str">
        <f>IFERROR(AVERAGE(Data!E1281), "  ")</f>
        <v xml:space="preserve">  </v>
      </c>
      <c r="F1279" s="42" t="str">
        <f>IFERROR(AVERAGE(Data!F1281), "  ")</f>
        <v xml:space="preserve">  </v>
      </c>
      <c r="G1279" s="42" t="str">
        <f>IFERROR(AVERAGE(Data!G1281), "  ")</f>
        <v xml:space="preserve">  </v>
      </c>
      <c r="H1279" s="44" t="str">
        <f>IFERROR(AVERAGE(Data!H1281), "  ")</f>
        <v xml:space="preserve">  </v>
      </c>
      <c r="I1279" s="44" t="str">
        <f>IFERROR(AVERAGE(Data!I1281), "  ")</f>
        <v xml:space="preserve">  </v>
      </c>
      <c r="J1279" s="42" t="str">
        <f>IFERROR(AVERAGE(Data!J1281), "  ")</f>
        <v xml:space="preserve">  </v>
      </c>
      <c r="K1279" s="44" t="str">
        <f>IFERROR(AVERAGE(Data!K1281), "  ")</f>
        <v xml:space="preserve">  </v>
      </c>
      <c r="L1279" s="45" t="str">
        <f>IFERROR(AVERAGE(Data!L1281), "  ")</f>
        <v xml:space="preserve">  </v>
      </c>
    </row>
    <row r="1280" spans="1:12" x14ac:dyDescent="0.2">
      <c r="A1280" s="43"/>
      <c r="B1280" s="42" t="str">
        <f>IFERROR(AVERAGE(Data!B1282), "  ")</f>
        <v xml:space="preserve">  </v>
      </c>
      <c r="C1280" s="42" t="str">
        <f>IFERROR(AVERAGE(Data!C1282), "  ")</f>
        <v xml:space="preserve">  </v>
      </c>
      <c r="D1280" s="42" t="str">
        <f>IFERROR(AVERAGE(Data!D1282), "  ")</f>
        <v xml:space="preserve">  </v>
      </c>
      <c r="E1280" s="42" t="str">
        <f>IFERROR(AVERAGE(Data!E1282), "  ")</f>
        <v xml:space="preserve">  </v>
      </c>
      <c r="F1280" s="42" t="str">
        <f>IFERROR(AVERAGE(Data!F1282), "  ")</f>
        <v xml:space="preserve">  </v>
      </c>
      <c r="G1280" s="42" t="str">
        <f>IFERROR(AVERAGE(Data!G1282), "  ")</f>
        <v xml:space="preserve">  </v>
      </c>
      <c r="H1280" s="44" t="str">
        <f>IFERROR(AVERAGE(Data!H1282), "  ")</f>
        <v xml:space="preserve">  </v>
      </c>
      <c r="I1280" s="44" t="str">
        <f>IFERROR(AVERAGE(Data!I1282), "  ")</f>
        <v xml:space="preserve">  </v>
      </c>
      <c r="J1280" s="42" t="str">
        <f>IFERROR(AVERAGE(Data!J1282), "  ")</f>
        <v xml:space="preserve">  </v>
      </c>
      <c r="K1280" s="44" t="str">
        <f>IFERROR(AVERAGE(Data!K1282), "  ")</f>
        <v xml:space="preserve">  </v>
      </c>
      <c r="L1280" s="45" t="str">
        <f>IFERROR(AVERAGE(Data!L1282), "  ")</f>
        <v xml:space="preserve">  </v>
      </c>
    </row>
    <row r="1281" spans="1:12" x14ac:dyDescent="0.2">
      <c r="A1281" s="43"/>
      <c r="B1281" s="42" t="str">
        <f>IFERROR(AVERAGE(Data!B1283), "  ")</f>
        <v xml:space="preserve">  </v>
      </c>
      <c r="C1281" s="42" t="str">
        <f>IFERROR(AVERAGE(Data!C1283), "  ")</f>
        <v xml:space="preserve">  </v>
      </c>
      <c r="D1281" s="42" t="str">
        <f>IFERROR(AVERAGE(Data!D1283), "  ")</f>
        <v xml:space="preserve">  </v>
      </c>
      <c r="E1281" s="42" t="str">
        <f>IFERROR(AVERAGE(Data!E1283), "  ")</f>
        <v xml:space="preserve">  </v>
      </c>
      <c r="F1281" s="42" t="str">
        <f>IFERROR(AVERAGE(Data!F1283), "  ")</f>
        <v xml:space="preserve">  </v>
      </c>
      <c r="G1281" s="42" t="str">
        <f>IFERROR(AVERAGE(Data!G1283), "  ")</f>
        <v xml:space="preserve">  </v>
      </c>
      <c r="H1281" s="44" t="str">
        <f>IFERROR(AVERAGE(Data!H1283), "  ")</f>
        <v xml:space="preserve">  </v>
      </c>
      <c r="I1281" s="44" t="str">
        <f>IFERROR(AVERAGE(Data!I1283), "  ")</f>
        <v xml:space="preserve">  </v>
      </c>
      <c r="J1281" s="42" t="str">
        <f>IFERROR(AVERAGE(Data!J1283), "  ")</f>
        <v xml:space="preserve">  </v>
      </c>
      <c r="K1281" s="44" t="str">
        <f>IFERROR(AVERAGE(Data!K1283), "  ")</f>
        <v xml:space="preserve">  </v>
      </c>
      <c r="L1281" s="45" t="str">
        <f>IFERROR(AVERAGE(Data!L1283), "  ")</f>
        <v xml:space="preserve">  </v>
      </c>
    </row>
    <row r="1282" spans="1:12" x14ac:dyDescent="0.2">
      <c r="A1282" s="43"/>
      <c r="B1282" s="42" t="str">
        <f>IFERROR(AVERAGE(Data!B1284), "  ")</f>
        <v xml:space="preserve">  </v>
      </c>
      <c r="C1282" s="42" t="str">
        <f>IFERROR(AVERAGE(Data!C1284), "  ")</f>
        <v xml:space="preserve">  </v>
      </c>
      <c r="D1282" s="42" t="str">
        <f>IFERROR(AVERAGE(Data!D1284), "  ")</f>
        <v xml:space="preserve">  </v>
      </c>
      <c r="E1282" s="42" t="str">
        <f>IFERROR(AVERAGE(Data!E1284), "  ")</f>
        <v xml:space="preserve">  </v>
      </c>
      <c r="F1282" s="42" t="str">
        <f>IFERROR(AVERAGE(Data!F1284), "  ")</f>
        <v xml:space="preserve">  </v>
      </c>
      <c r="G1282" s="42" t="str">
        <f>IFERROR(AVERAGE(Data!G1284), "  ")</f>
        <v xml:space="preserve">  </v>
      </c>
      <c r="H1282" s="44" t="str">
        <f>IFERROR(AVERAGE(Data!H1284), "  ")</f>
        <v xml:space="preserve">  </v>
      </c>
      <c r="I1282" s="44" t="str">
        <f>IFERROR(AVERAGE(Data!I1284), "  ")</f>
        <v xml:space="preserve">  </v>
      </c>
      <c r="J1282" s="42" t="str">
        <f>IFERROR(AVERAGE(Data!J1284), "  ")</f>
        <v xml:space="preserve">  </v>
      </c>
      <c r="K1282" s="44" t="str">
        <f>IFERROR(AVERAGE(Data!K1284), "  ")</f>
        <v xml:space="preserve">  </v>
      </c>
      <c r="L1282" s="45" t="str">
        <f>IFERROR(AVERAGE(Data!L1284), "  ")</f>
        <v xml:space="preserve">  </v>
      </c>
    </row>
    <row r="1283" spans="1:12" x14ac:dyDescent="0.2">
      <c r="A1283" s="43"/>
      <c r="B1283" s="42" t="str">
        <f>IFERROR(AVERAGE(Data!B1285), "  ")</f>
        <v xml:space="preserve">  </v>
      </c>
      <c r="C1283" s="42" t="str">
        <f>IFERROR(AVERAGE(Data!C1285), "  ")</f>
        <v xml:space="preserve">  </v>
      </c>
      <c r="D1283" s="42" t="str">
        <f>IFERROR(AVERAGE(Data!D1285), "  ")</f>
        <v xml:space="preserve">  </v>
      </c>
      <c r="E1283" s="42" t="str">
        <f>IFERROR(AVERAGE(Data!E1285), "  ")</f>
        <v xml:space="preserve">  </v>
      </c>
      <c r="F1283" s="42" t="str">
        <f>IFERROR(AVERAGE(Data!F1285), "  ")</f>
        <v xml:space="preserve">  </v>
      </c>
      <c r="G1283" s="42" t="str">
        <f>IFERROR(AVERAGE(Data!G1285), "  ")</f>
        <v xml:space="preserve">  </v>
      </c>
      <c r="H1283" s="44" t="str">
        <f>IFERROR(AVERAGE(Data!H1285), "  ")</f>
        <v xml:space="preserve">  </v>
      </c>
      <c r="I1283" s="44" t="str">
        <f>IFERROR(AVERAGE(Data!I1285), "  ")</f>
        <v xml:space="preserve">  </v>
      </c>
      <c r="J1283" s="42" t="str">
        <f>IFERROR(AVERAGE(Data!J1285), "  ")</f>
        <v xml:space="preserve">  </v>
      </c>
      <c r="K1283" s="44" t="str">
        <f>IFERROR(AVERAGE(Data!K1285), "  ")</f>
        <v xml:space="preserve">  </v>
      </c>
      <c r="L1283" s="45" t="str">
        <f>IFERROR(AVERAGE(Data!L1285), "  ")</f>
        <v xml:space="preserve">  </v>
      </c>
    </row>
    <row r="1284" spans="1:12" x14ac:dyDescent="0.2">
      <c r="A1284" s="43"/>
      <c r="B1284" s="42" t="str">
        <f>IFERROR(AVERAGE(Data!B1286), "  ")</f>
        <v xml:space="preserve">  </v>
      </c>
      <c r="C1284" s="42" t="str">
        <f>IFERROR(AVERAGE(Data!C1286), "  ")</f>
        <v xml:space="preserve">  </v>
      </c>
      <c r="D1284" s="42" t="str">
        <f>IFERROR(AVERAGE(Data!D1286), "  ")</f>
        <v xml:space="preserve">  </v>
      </c>
      <c r="E1284" s="42" t="str">
        <f>IFERROR(AVERAGE(Data!E1286), "  ")</f>
        <v xml:space="preserve">  </v>
      </c>
      <c r="F1284" s="42" t="str">
        <f>IFERROR(AVERAGE(Data!F1286), "  ")</f>
        <v xml:space="preserve">  </v>
      </c>
      <c r="G1284" s="42" t="str">
        <f>IFERROR(AVERAGE(Data!G1286), "  ")</f>
        <v xml:space="preserve">  </v>
      </c>
      <c r="H1284" s="44" t="str">
        <f>IFERROR(AVERAGE(Data!H1286), "  ")</f>
        <v xml:space="preserve">  </v>
      </c>
      <c r="I1284" s="44" t="str">
        <f>IFERROR(AVERAGE(Data!I1286), "  ")</f>
        <v xml:space="preserve">  </v>
      </c>
      <c r="J1284" s="42" t="str">
        <f>IFERROR(AVERAGE(Data!J1286), "  ")</f>
        <v xml:space="preserve">  </v>
      </c>
      <c r="K1284" s="44" t="str">
        <f>IFERROR(AVERAGE(Data!K1286), "  ")</f>
        <v xml:space="preserve">  </v>
      </c>
      <c r="L1284" s="45" t="str">
        <f>IFERROR(AVERAGE(Data!L1286), "  ")</f>
        <v xml:space="preserve">  </v>
      </c>
    </row>
    <row r="1285" spans="1:12" x14ac:dyDescent="0.2">
      <c r="A1285" s="43"/>
      <c r="B1285" s="42" t="str">
        <f>IFERROR(AVERAGE(Data!B1287), "  ")</f>
        <v xml:space="preserve">  </v>
      </c>
      <c r="C1285" s="42" t="str">
        <f>IFERROR(AVERAGE(Data!C1287), "  ")</f>
        <v xml:space="preserve">  </v>
      </c>
      <c r="D1285" s="42" t="str">
        <f>IFERROR(AVERAGE(Data!D1287), "  ")</f>
        <v xml:space="preserve">  </v>
      </c>
      <c r="E1285" s="42" t="str">
        <f>IFERROR(AVERAGE(Data!E1287), "  ")</f>
        <v xml:space="preserve">  </v>
      </c>
      <c r="F1285" s="42" t="str">
        <f>IFERROR(AVERAGE(Data!F1287), "  ")</f>
        <v xml:space="preserve">  </v>
      </c>
      <c r="G1285" s="42" t="str">
        <f>IFERROR(AVERAGE(Data!G1287), "  ")</f>
        <v xml:space="preserve">  </v>
      </c>
      <c r="H1285" s="44" t="str">
        <f>IFERROR(AVERAGE(Data!H1287), "  ")</f>
        <v xml:space="preserve">  </v>
      </c>
      <c r="I1285" s="44" t="str">
        <f>IFERROR(AVERAGE(Data!I1287), "  ")</f>
        <v xml:space="preserve">  </v>
      </c>
      <c r="J1285" s="42" t="str">
        <f>IFERROR(AVERAGE(Data!J1287), "  ")</f>
        <v xml:space="preserve">  </v>
      </c>
      <c r="K1285" s="44" t="str">
        <f>IFERROR(AVERAGE(Data!K1287), "  ")</f>
        <v xml:space="preserve">  </v>
      </c>
      <c r="L1285" s="45" t="str">
        <f>IFERROR(AVERAGE(Data!L1287), "  ")</f>
        <v xml:space="preserve">  </v>
      </c>
    </row>
    <row r="1286" spans="1:12" x14ac:dyDescent="0.2">
      <c r="A1286" s="43"/>
      <c r="B1286" s="42" t="str">
        <f>IFERROR(AVERAGE(Data!B1288), "  ")</f>
        <v xml:space="preserve">  </v>
      </c>
      <c r="C1286" s="42" t="str">
        <f>IFERROR(AVERAGE(Data!C1288), "  ")</f>
        <v xml:space="preserve">  </v>
      </c>
      <c r="D1286" s="42" t="str">
        <f>IFERROR(AVERAGE(Data!D1288), "  ")</f>
        <v xml:space="preserve">  </v>
      </c>
      <c r="E1286" s="42" t="str">
        <f>IFERROR(AVERAGE(Data!E1288), "  ")</f>
        <v xml:space="preserve">  </v>
      </c>
      <c r="F1286" s="42" t="str">
        <f>IFERROR(AVERAGE(Data!F1288), "  ")</f>
        <v xml:space="preserve">  </v>
      </c>
      <c r="G1286" s="42" t="str">
        <f>IFERROR(AVERAGE(Data!G1288), "  ")</f>
        <v xml:space="preserve">  </v>
      </c>
      <c r="H1286" s="44" t="str">
        <f>IFERROR(AVERAGE(Data!H1288), "  ")</f>
        <v xml:space="preserve">  </v>
      </c>
      <c r="I1286" s="44" t="str">
        <f>IFERROR(AVERAGE(Data!I1288), "  ")</f>
        <v xml:space="preserve">  </v>
      </c>
      <c r="J1286" s="42" t="str">
        <f>IFERROR(AVERAGE(Data!J1288), "  ")</f>
        <v xml:space="preserve">  </v>
      </c>
      <c r="K1286" s="44" t="str">
        <f>IFERROR(AVERAGE(Data!K1288), "  ")</f>
        <v xml:space="preserve">  </v>
      </c>
      <c r="L1286" s="45" t="str">
        <f>IFERROR(AVERAGE(Data!L1288), "  ")</f>
        <v xml:space="preserve">  </v>
      </c>
    </row>
    <row r="1287" spans="1:12" x14ac:dyDescent="0.2">
      <c r="A1287" s="43"/>
      <c r="B1287" s="42" t="str">
        <f>IFERROR(AVERAGE(Data!B1289), "  ")</f>
        <v xml:space="preserve">  </v>
      </c>
      <c r="C1287" s="42" t="str">
        <f>IFERROR(AVERAGE(Data!C1289), "  ")</f>
        <v xml:space="preserve">  </v>
      </c>
      <c r="D1287" s="42" t="str">
        <f>IFERROR(AVERAGE(Data!D1289), "  ")</f>
        <v xml:space="preserve">  </v>
      </c>
      <c r="E1287" s="42" t="str">
        <f>IFERROR(AVERAGE(Data!E1289), "  ")</f>
        <v xml:space="preserve">  </v>
      </c>
      <c r="F1287" s="42" t="str">
        <f>IFERROR(AVERAGE(Data!F1289), "  ")</f>
        <v xml:space="preserve">  </v>
      </c>
      <c r="G1287" s="42" t="str">
        <f>IFERROR(AVERAGE(Data!G1289), "  ")</f>
        <v xml:space="preserve">  </v>
      </c>
      <c r="H1287" s="44" t="str">
        <f>IFERROR(AVERAGE(Data!H1289), "  ")</f>
        <v xml:space="preserve">  </v>
      </c>
      <c r="I1287" s="44" t="str">
        <f>IFERROR(AVERAGE(Data!I1289), "  ")</f>
        <v xml:space="preserve">  </v>
      </c>
      <c r="J1287" s="42" t="str">
        <f>IFERROR(AVERAGE(Data!J1289), "  ")</f>
        <v xml:space="preserve">  </v>
      </c>
      <c r="K1287" s="44" t="str">
        <f>IFERROR(AVERAGE(Data!K1289), "  ")</f>
        <v xml:space="preserve">  </v>
      </c>
      <c r="L1287" s="45" t="str">
        <f>IFERROR(AVERAGE(Data!L1289), "  ")</f>
        <v xml:space="preserve">  </v>
      </c>
    </row>
    <row r="1288" spans="1:12" x14ac:dyDescent="0.2">
      <c r="A1288" s="43"/>
      <c r="B1288" s="42" t="str">
        <f>IFERROR(AVERAGE(Data!B1290), "  ")</f>
        <v xml:space="preserve">  </v>
      </c>
      <c r="C1288" s="42" t="str">
        <f>IFERROR(AVERAGE(Data!C1290), "  ")</f>
        <v xml:space="preserve">  </v>
      </c>
      <c r="D1288" s="42" t="str">
        <f>IFERROR(AVERAGE(Data!D1290), "  ")</f>
        <v xml:space="preserve">  </v>
      </c>
      <c r="E1288" s="42" t="str">
        <f>IFERROR(AVERAGE(Data!E1290), "  ")</f>
        <v xml:space="preserve">  </v>
      </c>
      <c r="F1288" s="42" t="str">
        <f>IFERROR(AVERAGE(Data!F1290), "  ")</f>
        <v xml:space="preserve">  </v>
      </c>
      <c r="G1288" s="42" t="str">
        <f>IFERROR(AVERAGE(Data!G1290), "  ")</f>
        <v xml:space="preserve">  </v>
      </c>
      <c r="H1288" s="44" t="str">
        <f>IFERROR(AVERAGE(Data!H1290), "  ")</f>
        <v xml:space="preserve">  </v>
      </c>
      <c r="I1288" s="44" t="str">
        <f>IFERROR(AVERAGE(Data!I1290), "  ")</f>
        <v xml:space="preserve">  </v>
      </c>
      <c r="J1288" s="42" t="str">
        <f>IFERROR(AVERAGE(Data!J1290), "  ")</f>
        <v xml:space="preserve">  </v>
      </c>
      <c r="K1288" s="44" t="str">
        <f>IFERROR(AVERAGE(Data!K1290), "  ")</f>
        <v xml:space="preserve">  </v>
      </c>
      <c r="L1288" s="45" t="str">
        <f>IFERROR(AVERAGE(Data!L1290), "  ")</f>
        <v xml:space="preserve">  </v>
      </c>
    </row>
    <row r="1289" spans="1:12" x14ac:dyDescent="0.2">
      <c r="A1289" s="43"/>
      <c r="B1289" s="42" t="str">
        <f>IFERROR(AVERAGE(Data!B1291), "  ")</f>
        <v xml:space="preserve">  </v>
      </c>
      <c r="C1289" s="42" t="str">
        <f>IFERROR(AVERAGE(Data!C1291), "  ")</f>
        <v xml:space="preserve">  </v>
      </c>
      <c r="D1289" s="42" t="str">
        <f>IFERROR(AVERAGE(Data!D1291), "  ")</f>
        <v xml:space="preserve">  </v>
      </c>
      <c r="E1289" s="42" t="str">
        <f>IFERROR(AVERAGE(Data!E1291), "  ")</f>
        <v xml:space="preserve">  </v>
      </c>
      <c r="F1289" s="42" t="str">
        <f>IFERROR(AVERAGE(Data!F1291), "  ")</f>
        <v xml:space="preserve">  </v>
      </c>
      <c r="G1289" s="42" t="str">
        <f>IFERROR(AVERAGE(Data!G1291), "  ")</f>
        <v xml:space="preserve">  </v>
      </c>
      <c r="H1289" s="44" t="str">
        <f>IFERROR(AVERAGE(Data!H1291), "  ")</f>
        <v xml:space="preserve">  </v>
      </c>
      <c r="I1289" s="44" t="str">
        <f>IFERROR(AVERAGE(Data!I1291), "  ")</f>
        <v xml:space="preserve">  </v>
      </c>
      <c r="J1289" s="42" t="str">
        <f>IFERROR(AVERAGE(Data!J1291), "  ")</f>
        <v xml:space="preserve">  </v>
      </c>
      <c r="K1289" s="44" t="str">
        <f>IFERROR(AVERAGE(Data!K1291), "  ")</f>
        <v xml:space="preserve">  </v>
      </c>
      <c r="L1289" s="45" t="str">
        <f>IFERROR(AVERAGE(Data!L1291), "  ")</f>
        <v xml:space="preserve">  </v>
      </c>
    </row>
    <row r="1290" spans="1:12" x14ac:dyDescent="0.2">
      <c r="A1290" s="43"/>
      <c r="B1290" s="42" t="str">
        <f>IFERROR(AVERAGE(Data!B1292), "  ")</f>
        <v xml:space="preserve">  </v>
      </c>
      <c r="C1290" s="42" t="str">
        <f>IFERROR(AVERAGE(Data!C1292), "  ")</f>
        <v xml:space="preserve">  </v>
      </c>
      <c r="D1290" s="42" t="str">
        <f>IFERROR(AVERAGE(Data!D1292), "  ")</f>
        <v xml:space="preserve">  </v>
      </c>
      <c r="E1290" s="42" t="str">
        <f>IFERROR(AVERAGE(Data!E1292), "  ")</f>
        <v xml:space="preserve">  </v>
      </c>
      <c r="F1290" s="42" t="str">
        <f>IFERROR(AVERAGE(Data!F1292), "  ")</f>
        <v xml:space="preserve">  </v>
      </c>
      <c r="G1290" s="42" t="str">
        <f>IFERROR(AVERAGE(Data!G1292), "  ")</f>
        <v xml:space="preserve">  </v>
      </c>
      <c r="H1290" s="44" t="str">
        <f>IFERROR(AVERAGE(Data!H1292), "  ")</f>
        <v xml:space="preserve">  </v>
      </c>
      <c r="I1290" s="44" t="str">
        <f>IFERROR(AVERAGE(Data!I1292), "  ")</f>
        <v xml:space="preserve">  </v>
      </c>
      <c r="J1290" s="42" t="str">
        <f>IFERROR(AVERAGE(Data!J1292), "  ")</f>
        <v xml:space="preserve">  </v>
      </c>
      <c r="K1290" s="44" t="str">
        <f>IFERROR(AVERAGE(Data!K1292), "  ")</f>
        <v xml:space="preserve">  </v>
      </c>
      <c r="L1290" s="45" t="str">
        <f>IFERROR(AVERAGE(Data!L1292), "  ")</f>
        <v xml:space="preserve">  </v>
      </c>
    </row>
    <row r="1291" spans="1:12" x14ac:dyDescent="0.2">
      <c r="A1291" s="43"/>
      <c r="B1291" s="42" t="str">
        <f>IFERROR(AVERAGE(Data!B1293), "  ")</f>
        <v xml:space="preserve">  </v>
      </c>
      <c r="C1291" s="42" t="str">
        <f>IFERROR(AVERAGE(Data!C1293), "  ")</f>
        <v xml:space="preserve">  </v>
      </c>
      <c r="D1291" s="42" t="str">
        <f>IFERROR(AVERAGE(Data!D1293), "  ")</f>
        <v xml:space="preserve">  </v>
      </c>
      <c r="E1291" s="42" t="str">
        <f>IFERROR(AVERAGE(Data!E1293), "  ")</f>
        <v xml:space="preserve">  </v>
      </c>
      <c r="F1291" s="42" t="str">
        <f>IFERROR(AVERAGE(Data!F1293), "  ")</f>
        <v xml:space="preserve">  </v>
      </c>
      <c r="G1291" s="42" t="str">
        <f>IFERROR(AVERAGE(Data!G1293), "  ")</f>
        <v xml:space="preserve">  </v>
      </c>
      <c r="H1291" s="44" t="str">
        <f>IFERROR(AVERAGE(Data!H1293), "  ")</f>
        <v xml:space="preserve">  </v>
      </c>
      <c r="I1291" s="44" t="str">
        <f>IFERROR(AVERAGE(Data!I1293), "  ")</f>
        <v xml:space="preserve">  </v>
      </c>
      <c r="J1291" s="42" t="str">
        <f>IFERROR(AVERAGE(Data!J1293), "  ")</f>
        <v xml:space="preserve">  </v>
      </c>
      <c r="K1291" s="44" t="str">
        <f>IFERROR(AVERAGE(Data!K1293), "  ")</f>
        <v xml:space="preserve">  </v>
      </c>
      <c r="L1291" s="45" t="str">
        <f>IFERROR(AVERAGE(Data!L1293), "  ")</f>
        <v xml:space="preserve">  </v>
      </c>
    </row>
    <row r="1292" spans="1:12" x14ac:dyDescent="0.2">
      <c r="A1292" s="43"/>
      <c r="B1292" s="42" t="str">
        <f>IFERROR(AVERAGE(Data!B1294), "  ")</f>
        <v xml:space="preserve">  </v>
      </c>
      <c r="C1292" s="42" t="str">
        <f>IFERROR(AVERAGE(Data!C1294), "  ")</f>
        <v xml:space="preserve">  </v>
      </c>
      <c r="D1292" s="42" t="str">
        <f>IFERROR(AVERAGE(Data!D1294), "  ")</f>
        <v xml:space="preserve">  </v>
      </c>
      <c r="E1292" s="42" t="str">
        <f>IFERROR(AVERAGE(Data!E1294), "  ")</f>
        <v xml:space="preserve">  </v>
      </c>
      <c r="F1292" s="42" t="str">
        <f>IFERROR(AVERAGE(Data!F1294), "  ")</f>
        <v xml:space="preserve">  </v>
      </c>
      <c r="G1292" s="42" t="str">
        <f>IFERROR(AVERAGE(Data!G1294), "  ")</f>
        <v xml:space="preserve">  </v>
      </c>
      <c r="H1292" s="44" t="str">
        <f>IFERROR(AVERAGE(Data!H1294), "  ")</f>
        <v xml:space="preserve">  </v>
      </c>
      <c r="I1292" s="44" t="str">
        <f>IFERROR(AVERAGE(Data!I1294), "  ")</f>
        <v xml:space="preserve">  </v>
      </c>
      <c r="J1292" s="42" t="str">
        <f>IFERROR(AVERAGE(Data!J1294), "  ")</f>
        <v xml:space="preserve">  </v>
      </c>
      <c r="K1292" s="44" t="str">
        <f>IFERROR(AVERAGE(Data!K1294), "  ")</f>
        <v xml:space="preserve">  </v>
      </c>
      <c r="L1292" s="45" t="str">
        <f>IFERROR(AVERAGE(Data!L1294), "  ")</f>
        <v xml:space="preserve">  </v>
      </c>
    </row>
    <row r="1293" spans="1:12" x14ac:dyDescent="0.2">
      <c r="A1293" s="43"/>
      <c r="B1293" s="42" t="str">
        <f>IFERROR(AVERAGE(Data!B1295), "  ")</f>
        <v xml:space="preserve">  </v>
      </c>
      <c r="C1293" s="42" t="str">
        <f>IFERROR(AVERAGE(Data!C1295), "  ")</f>
        <v xml:space="preserve">  </v>
      </c>
      <c r="D1293" s="42" t="str">
        <f>IFERROR(AVERAGE(Data!D1295), "  ")</f>
        <v xml:space="preserve">  </v>
      </c>
      <c r="E1293" s="42" t="str">
        <f>IFERROR(AVERAGE(Data!E1295), "  ")</f>
        <v xml:space="preserve">  </v>
      </c>
      <c r="F1293" s="42" t="str">
        <f>IFERROR(AVERAGE(Data!F1295), "  ")</f>
        <v xml:space="preserve">  </v>
      </c>
      <c r="G1293" s="42" t="str">
        <f>IFERROR(AVERAGE(Data!G1295), "  ")</f>
        <v xml:space="preserve">  </v>
      </c>
      <c r="H1293" s="44" t="str">
        <f>IFERROR(AVERAGE(Data!H1295), "  ")</f>
        <v xml:space="preserve">  </v>
      </c>
      <c r="I1293" s="44" t="str">
        <f>IFERROR(AVERAGE(Data!I1295), "  ")</f>
        <v xml:space="preserve">  </v>
      </c>
      <c r="J1293" s="42" t="str">
        <f>IFERROR(AVERAGE(Data!J1295), "  ")</f>
        <v xml:space="preserve">  </v>
      </c>
      <c r="K1293" s="44" t="str">
        <f>IFERROR(AVERAGE(Data!K1295), "  ")</f>
        <v xml:space="preserve">  </v>
      </c>
      <c r="L1293" s="45" t="str">
        <f>IFERROR(AVERAGE(Data!L1295), "  ")</f>
        <v xml:space="preserve">  </v>
      </c>
    </row>
    <row r="1294" spans="1:12" x14ac:dyDescent="0.2">
      <c r="A1294" s="43"/>
      <c r="B1294" s="42" t="str">
        <f>IFERROR(AVERAGE(Data!B1296), "  ")</f>
        <v xml:space="preserve">  </v>
      </c>
      <c r="C1294" s="42" t="str">
        <f>IFERROR(AVERAGE(Data!C1296), "  ")</f>
        <v xml:space="preserve">  </v>
      </c>
      <c r="D1294" s="42" t="str">
        <f>IFERROR(AVERAGE(Data!D1296), "  ")</f>
        <v xml:space="preserve">  </v>
      </c>
      <c r="E1294" s="42" t="str">
        <f>IFERROR(AVERAGE(Data!E1296), "  ")</f>
        <v xml:space="preserve">  </v>
      </c>
      <c r="F1294" s="42" t="str">
        <f>IFERROR(AVERAGE(Data!F1296), "  ")</f>
        <v xml:space="preserve">  </v>
      </c>
      <c r="G1294" s="42" t="str">
        <f>IFERROR(AVERAGE(Data!G1296), "  ")</f>
        <v xml:space="preserve">  </v>
      </c>
      <c r="H1294" s="44" t="str">
        <f>IFERROR(AVERAGE(Data!H1296), "  ")</f>
        <v xml:space="preserve">  </v>
      </c>
      <c r="I1294" s="44" t="str">
        <f>IFERROR(AVERAGE(Data!I1296), "  ")</f>
        <v xml:space="preserve">  </v>
      </c>
      <c r="J1294" s="42" t="str">
        <f>IFERROR(AVERAGE(Data!J1296), "  ")</f>
        <v xml:space="preserve">  </v>
      </c>
      <c r="K1294" s="44" t="str">
        <f>IFERROR(AVERAGE(Data!K1296), "  ")</f>
        <v xml:space="preserve">  </v>
      </c>
      <c r="L1294" s="45" t="str">
        <f>IFERROR(AVERAGE(Data!L1296), "  ")</f>
        <v xml:space="preserve">  </v>
      </c>
    </row>
    <row r="1295" spans="1:12" x14ac:dyDescent="0.2">
      <c r="A1295" s="43"/>
      <c r="B1295" s="42" t="str">
        <f>IFERROR(AVERAGE(Data!B1297), "  ")</f>
        <v xml:space="preserve">  </v>
      </c>
      <c r="C1295" s="42" t="str">
        <f>IFERROR(AVERAGE(Data!C1297), "  ")</f>
        <v xml:space="preserve">  </v>
      </c>
      <c r="D1295" s="42" t="str">
        <f>IFERROR(AVERAGE(Data!D1297), "  ")</f>
        <v xml:space="preserve">  </v>
      </c>
      <c r="E1295" s="42" t="str">
        <f>IFERROR(AVERAGE(Data!E1297), "  ")</f>
        <v xml:space="preserve">  </v>
      </c>
      <c r="F1295" s="42" t="str">
        <f>IFERROR(AVERAGE(Data!F1297), "  ")</f>
        <v xml:space="preserve">  </v>
      </c>
      <c r="G1295" s="42" t="str">
        <f>IFERROR(AVERAGE(Data!G1297), "  ")</f>
        <v xml:space="preserve">  </v>
      </c>
      <c r="H1295" s="44" t="str">
        <f>IFERROR(AVERAGE(Data!H1297), "  ")</f>
        <v xml:space="preserve">  </v>
      </c>
      <c r="I1295" s="44" t="str">
        <f>IFERROR(AVERAGE(Data!I1297), "  ")</f>
        <v xml:space="preserve">  </v>
      </c>
      <c r="J1295" s="42" t="str">
        <f>IFERROR(AVERAGE(Data!J1297), "  ")</f>
        <v xml:space="preserve">  </v>
      </c>
      <c r="K1295" s="44" t="str">
        <f>IFERROR(AVERAGE(Data!K1297), "  ")</f>
        <v xml:space="preserve">  </v>
      </c>
      <c r="L1295" s="45" t="str">
        <f>IFERROR(AVERAGE(Data!L1297), "  ")</f>
        <v xml:space="preserve">  </v>
      </c>
    </row>
    <row r="1296" spans="1:12" x14ac:dyDescent="0.2">
      <c r="A1296" s="43"/>
      <c r="B1296" s="42" t="str">
        <f>IFERROR(AVERAGE(Data!B1298), "  ")</f>
        <v xml:space="preserve">  </v>
      </c>
      <c r="C1296" s="42" t="str">
        <f>IFERROR(AVERAGE(Data!C1298), "  ")</f>
        <v xml:space="preserve">  </v>
      </c>
      <c r="D1296" s="42" t="str">
        <f>IFERROR(AVERAGE(Data!D1298), "  ")</f>
        <v xml:space="preserve">  </v>
      </c>
      <c r="E1296" s="42" t="str">
        <f>IFERROR(AVERAGE(Data!E1298), "  ")</f>
        <v xml:space="preserve">  </v>
      </c>
      <c r="F1296" s="42" t="str">
        <f>IFERROR(AVERAGE(Data!F1298), "  ")</f>
        <v xml:space="preserve">  </v>
      </c>
      <c r="G1296" s="42" t="str">
        <f>IFERROR(AVERAGE(Data!G1298), "  ")</f>
        <v xml:space="preserve">  </v>
      </c>
      <c r="H1296" s="44" t="str">
        <f>IFERROR(AVERAGE(Data!H1298), "  ")</f>
        <v xml:space="preserve">  </v>
      </c>
      <c r="I1296" s="44" t="str">
        <f>IFERROR(AVERAGE(Data!I1298), "  ")</f>
        <v xml:space="preserve">  </v>
      </c>
      <c r="J1296" s="42" t="str">
        <f>IFERROR(AVERAGE(Data!J1298), "  ")</f>
        <v xml:space="preserve">  </v>
      </c>
      <c r="K1296" s="44" t="str">
        <f>IFERROR(AVERAGE(Data!K1298), "  ")</f>
        <v xml:space="preserve">  </v>
      </c>
      <c r="L1296" s="45" t="str">
        <f>IFERROR(AVERAGE(Data!L1298), "  ")</f>
        <v xml:space="preserve">  </v>
      </c>
    </row>
    <row r="1297" spans="1:12" x14ac:dyDescent="0.2">
      <c r="A1297" s="43"/>
      <c r="B1297" s="42" t="str">
        <f>IFERROR(AVERAGE(Data!B1299), "  ")</f>
        <v xml:space="preserve">  </v>
      </c>
      <c r="C1297" s="42" t="str">
        <f>IFERROR(AVERAGE(Data!C1299), "  ")</f>
        <v xml:space="preserve">  </v>
      </c>
      <c r="D1297" s="42" t="str">
        <f>IFERROR(AVERAGE(Data!D1299), "  ")</f>
        <v xml:space="preserve">  </v>
      </c>
      <c r="E1297" s="42" t="str">
        <f>IFERROR(AVERAGE(Data!E1299), "  ")</f>
        <v xml:space="preserve">  </v>
      </c>
      <c r="F1297" s="42" t="str">
        <f>IFERROR(AVERAGE(Data!F1299), "  ")</f>
        <v xml:space="preserve">  </v>
      </c>
      <c r="G1297" s="42" t="str">
        <f>IFERROR(AVERAGE(Data!G1299), "  ")</f>
        <v xml:space="preserve">  </v>
      </c>
      <c r="H1297" s="44" t="str">
        <f>IFERROR(AVERAGE(Data!H1299), "  ")</f>
        <v xml:space="preserve">  </v>
      </c>
      <c r="I1297" s="44" t="str">
        <f>IFERROR(AVERAGE(Data!I1299), "  ")</f>
        <v xml:space="preserve">  </v>
      </c>
      <c r="J1297" s="42" t="str">
        <f>IFERROR(AVERAGE(Data!J1299), "  ")</f>
        <v xml:space="preserve">  </v>
      </c>
      <c r="K1297" s="44" t="str">
        <f>IFERROR(AVERAGE(Data!K1299), "  ")</f>
        <v xml:space="preserve">  </v>
      </c>
      <c r="L1297" s="45" t="str">
        <f>IFERROR(AVERAGE(Data!L1299), "  ")</f>
        <v xml:space="preserve">  </v>
      </c>
    </row>
    <row r="1298" spans="1:12" x14ac:dyDescent="0.2">
      <c r="A1298" s="43"/>
      <c r="B1298" s="42" t="str">
        <f>IFERROR(AVERAGE(Data!B1300), "  ")</f>
        <v xml:space="preserve">  </v>
      </c>
      <c r="C1298" s="42" t="str">
        <f>IFERROR(AVERAGE(Data!C1300), "  ")</f>
        <v xml:space="preserve">  </v>
      </c>
      <c r="D1298" s="42" t="str">
        <f>IFERROR(AVERAGE(Data!D1300), "  ")</f>
        <v xml:space="preserve">  </v>
      </c>
      <c r="E1298" s="42" t="str">
        <f>IFERROR(AVERAGE(Data!E1300), "  ")</f>
        <v xml:space="preserve">  </v>
      </c>
      <c r="F1298" s="42" t="str">
        <f>IFERROR(AVERAGE(Data!F1300), "  ")</f>
        <v xml:space="preserve">  </v>
      </c>
      <c r="G1298" s="42" t="str">
        <f>IFERROR(AVERAGE(Data!G1300), "  ")</f>
        <v xml:space="preserve">  </v>
      </c>
      <c r="H1298" s="44" t="str">
        <f>IFERROR(AVERAGE(Data!H1300), "  ")</f>
        <v xml:space="preserve">  </v>
      </c>
      <c r="I1298" s="44" t="str">
        <f>IFERROR(AVERAGE(Data!I1300), "  ")</f>
        <v xml:space="preserve">  </v>
      </c>
      <c r="J1298" s="42" t="str">
        <f>IFERROR(AVERAGE(Data!J1300), "  ")</f>
        <v xml:space="preserve">  </v>
      </c>
      <c r="K1298" s="44" t="str">
        <f>IFERROR(AVERAGE(Data!K1300), "  ")</f>
        <v xml:space="preserve">  </v>
      </c>
      <c r="L1298" s="45" t="str">
        <f>IFERROR(AVERAGE(Data!L1300), "  ")</f>
        <v xml:space="preserve">  </v>
      </c>
    </row>
    <row r="1299" spans="1:12" x14ac:dyDescent="0.2">
      <c r="A1299" s="43"/>
      <c r="B1299" s="42" t="str">
        <f>IFERROR(AVERAGE(Data!B1301), "  ")</f>
        <v xml:space="preserve">  </v>
      </c>
      <c r="C1299" s="42" t="str">
        <f>IFERROR(AVERAGE(Data!C1301), "  ")</f>
        <v xml:space="preserve">  </v>
      </c>
      <c r="D1299" s="42" t="str">
        <f>IFERROR(AVERAGE(Data!D1301), "  ")</f>
        <v xml:space="preserve">  </v>
      </c>
      <c r="E1299" s="42" t="str">
        <f>IFERROR(AVERAGE(Data!E1301), "  ")</f>
        <v xml:space="preserve">  </v>
      </c>
      <c r="F1299" s="42" t="str">
        <f>IFERROR(AVERAGE(Data!F1301), "  ")</f>
        <v xml:space="preserve">  </v>
      </c>
      <c r="G1299" s="42" t="str">
        <f>IFERROR(AVERAGE(Data!G1301), "  ")</f>
        <v xml:space="preserve">  </v>
      </c>
      <c r="H1299" s="44" t="str">
        <f>IFERROR(AVERAGE(Data!H1301), "  ")</f>
        <v xml:space="preserve">  </v>
      </c>
      <c r="I1299" s="44" t="str">
        <f>IFERROR(AVERAGE(Data!I1301), "  ")</f>
        <v xml:space="preserve">  </v>
      </c>
      <c r="J1299" s="42" t="str">
        <f>IFERROR(AVERAGE(Data!J1301), "  ")</f>
        <v xml:space="preserve">  </v>
      </c>
      <c r="K1299" s="44" t="str">
        <f>IFERROR(AVERAGE(Data!K1301), "  ")</f>
        <v xml:space="preserve">  </v>
      </c>
      <c r="L1299" s="45" t="str">
        <f>IFERROR(AVERAGE(Data!L1301), "  ")</f>
        <v xml:space="preserve">  </v>
      </c>
    </row>
    <row r="1300" spans="1:12" x14ac:dyDescent="0.2">
      <c r="A1300" s="43"/>
      <c r="B1300" s="42" t="str">
        <f>IFERROR(AVERAGE(Data!B1302), "  ")</f>
        <v xml:space="preserve">  </v>
      </c>
      <c r="C1300" s="42" t="str">
        <f>IFERROR(AVERAGE(Data!C1302), "  ")</f>
        <v xml:space="preserve">  </v>
      </c>
      <c r="D1300" s="42" t="str">
        <f>IFERROR(AVERAGE(Data!D1302), "  ")</f>
        <v xml:space="preserve">  </v>
      </c>
      <c r="E1300" s="42" t="str">
        <f>IFERROR(AVERAGE(Data!E1302), "  ")</f>
        <v xml:space="preserve">  </v>
      </c>
      <c r="F1300" s="42" t="str">
        <f>IFERROR(AVERAGE(Data!F1302), "  ")</f>
        <v xml:space="preserve">  </v>
      </c>
      <c r="G1300" s="42" t="str">
        <f>IFERROR(AVERAGE(Data!G1302), "  ")</f>
        <v xml:space="preserve">  </v>
      </c>
      <c r="H1300" s="44" t="str">
        <f>IFERROR(AVERAGE(Data!H1302), "  ")</f>
        <v xml:space="preserve">  </v>
      </c>
      <c r="I1300" s="44" t="str">
        <f>IFERROR(AVERAGE(Data!I1302), "  ")</f>
        <v xml:space="preserve">  </v>
      </c>
      <c r="J1300" s="42" t="str">
        <f>IFERROR(AVERAGE(Data!J1302), "  ")</f>
        <v xml:space="preserve">  </v>
      </c>
      <c r="K1300" s="44" t="str">
        <f>IFERROR(AVERAGE(Data!K1302), "  ")</f>
        <v xml:space="preserve">  </v>
      </c>
      <c r="L1300" s="45" t="str">
        <f>IFERROR(AVERAGE(Data!L1302), "  ")</f>
        <v xml:space="preserve">  </v>
      </c>
    </row>
    <row r="1301" spans="1:12" x14ac:dyDescent="0.2">
      <c r="A1301" s="43"/>
      <c r="B1301" s="42" t="str">
        <f>IFERROR(AVERAGE(Data!B1303), "  ")</f>
        <v xml:space="preserve">  </v>
      </c>
      <c r="C1301" s="42" t="str">
        <f>IFERROR(AVERAGE(Data!C1303), "  ")</f>
        <v xml:space="preserve">  </v>
      </c>
      <c r="D1301" s="42" t="str">
        <f>IFERROR(AVERAGE(Data!D1303), "  ")</f>
        <v xml:space="preserve">  </v>
      </c>
      <c r="E1301" s="42" t="str">
        <f>IFERROR(AVERAGE(Data!E1303), "  ")</f>
        <v xml:space="preserve">  </v>
      </c>
      <c r="F1301" s="42" t="str">
        <f>IFERROR(AVERAGE(Data!F1303), "  ")</f>
        <v xml:space="preserve">  </v>
      </c>
      <c r="G1301" s="42" t="str">
        <f>IFERROR(AVERAGE(Data!G1303), "  ")</f>
        <v xml:space="preserve">  </v>
      </c>
      <c r="H1301" s="44" t="str">
        <f>IFERROR(AVERAGE(Data!H1303), "  ")</f>
        <v xml:space="preserve">  </v>
      </c>
      <c r="I1301" s="44" t="str">
        <f>IFERROR(AVERAGE(Data!I1303), "  ")</f>
        <v xml:space="preserve">  </v>
      </c>
      <c r="J1301" s="42" t="str">
        <f>IFERROR(AVERAGE(Data!J1303), "  ")</f>
        <v xml:space="preserve">  </v>
      </c>
      <c r="K1301" s="44" t="str">
        <f>IFERROR(AVERAGE(Data!K1303), "  ")</f>
        <v xml:space="preserve">  </v>
      </c>
      <c r="L1301" s="45" t="str">
        <f>IFERROR(AVERAGE(Data!L1303), "  ")</f>
        <v xml:space="preserve">  </v>
      </c>
    </row>
    <row r="1302" spans="1:12" x14ac:dyDescent="0.2">
      <c r="A1302" s="43"/>
      <c r="B1302" s="42" t="str">
        <f>IFERROR(AVERAGE(Data!B1304), "  ")</f>
        <v xml:space="preserve">  </v>
      </c>
      <c r="C1302" s="42" t="str">
        <f>IFERROR(AVERAGE(Data!C1304), "  ")</f>
        <v xml:space="preserve">  </v>
      </c>
      <c r="D1302" s="42" t="str">
        <f>IFERROR(AVERAGE(Data!D1304), "  ")</f>
        <v xml:space="preserve">  </v>
      </c>
      <c r="E1302" s="42" t="str">
        <f>IFERROR(AVERAGE(Data!E1304), "  ")</f>
        <v xml:space="preserve">  </v>
      </c>
      <c r="F1302" s="42" t="str">
        <f>IFERROR(AVERAGE(Data!F1304), "  ")</f>
        <v xml:space="preserve">  </v>
      </c>
      <c r="G1302" s="42" t="str">
        <f>IFERROR(AVERAGE(Data!G1304), "  ")</f>
        <v xml:space="preserve">  </v>
      </c>
      <c r="H1302" s="44" t="str">
        <f>IFERROR(AVERAGE(Data!H1304), "  ")</f>
        <v xml:space="preserve">  </v>
      </c>
      <c r="I1302" s="44" t="str">
        <f>IFERROR(AVERAGE(Data!I1304), "  ")</f>
        <v xml:space="preserve">  </v>
      </c>
      <c r="J1302" s="42" t="str">
        <f>IFERROR(AVERAGE(Data!J1304), "  ")</f>
        <v xml:space="preserve">  </v>
      </c>
      <c r="K1302" s="44" t="str">
        <f>IFERROR(AVERAGE(Data!K1304), "  ")</f>
        <v xml:space="preserve">  </v>
      </c>
      <c r="L1302" s="45" t="str">
        <f>IFERROR(AVERAGE(Data!L1304), "  ")</f>
        <v xml:space="preserve">  </v>
      </c>
    </row>
    <row r="1303" spans="1:12" x14ac:dyDescent="0.2">
      <c r="A1303" s="43"/>
      <c r="B1303" s="42" t="str">
        <f>IFERROR(AVERAGE(Data!B1305), "  ")</f>
        <v xml:space="preserve">  </v>
      </c>
      <c r="C1303" s="42" t="str">
        <f>IFERROR(AVERAGE(Data!C1305), "  ")</f>
        <v xml:space="preserve">  </v>
      </c>
      <c r="D1303" s="42" t="str">
        <f>IFERROR(AVERAGE(Data!D1305), "  ")</f>
        <v xml:space="preserve">  </v>
      </c>
      <c r="E1303" s="42" t="str">
        <f>IFERROR(AVERAGE(Data!E1305), "  ")</f>
        <v xml:space="preserve">  </v>
      </c>
      <c r="F1303" s="42" t="str">
        <f>IFERROR(AVERAGE(Data!F1305), "  ")</f>
        <v xml:space="preserve">  </v>
      </c>
      <c r="G1303" s="42" t="str">
        <f>IFERROR(AVERAGE(Data!G1305), "  ")</f>
        <v xml:space="preserve">  </v>
      </c>
      <c r="H1303" s="44" t="str">
        <f>IFERROR(AVERAGE(Data!H1305), "  ")</f>
        <v xml:space="preserve">  </v>
      </c>
      <c r="I1303" s="44" t="str">
        <f>IFERROR(AVERAGE(Data!I1305), "  ")</f>
        <v xml:space="preserve">  </v>
      </c>
      <c r="J1303" s="42" t="str">
        <f>IFERROR(AVERAGE(Data!J1305), "  ")</f>
        <v xml:space="preserve">  </v>
      </c>
      <c r="K1303" s="44" t="str">
        <f>IFERROR(AVERAGE(Data!K1305), "  ")</f>
        <v xml:space="preserve">  </v>
      </c>
      <c r="L1303" s="45" t="str">
        <f>IFERROR(AVERAGE(Data!L1305), "  ")</f>
        <v xml:space="preserve">  </v>
      </c>
    </row>
    <row r="1304" spans="1:12" x14ac:dyDescent="0.2">
      <c r="A1304" s="43"/>
      <c r="B1304" s="42" t="str">
        <f>IFERROR(AVERAGE(Data!B1306), "  ")</f>
        <v xml:space="preserve">  </v>
      </c>
      <c r="C1304" s="42" t="str">
        <f>IFERROR(AVERAGE(Data!C1306), "  ")</f>
        <v xml:space="preserve">  </v>
      </c>
      <c r="D1304" s="42" t="str">
        <f>IFERROR(AVERAGE(Data!D1306), "  ")</f>
        <v xml:space="preserve">  </v>
      </c>
      <c r="E1304" s="42" t="str">
        <f>IFERROR(AVERAGE(Data!E1306), "  ")</f>
        <v xml:space="preserve">  </v>
      </c>
      <c r="F1304" s="42" t="str">
        <f>IFERROR(AVERAGE(Data!F1306), "  ")</f>
        <v xml:space="preserve">  </v>
      </c>
      <c r="G1304" s="42" t="str">
        <f>IFERROR(AVERAGE(Data!G1306), "  ")</f>
        <v xml:space="preserve">  </v>
      </c>
      <c r="H1304" s="44" t="str">
        <f>IFERROR(AVERAGE(Data!H1306), "  ")</f>
        <v xml:space="preserve">  </v>
      </c>
      <c r="I1304" s="44" t="str">
        <f>IFERROR(AVERAGE(Data!I1306), "  ")</f>
        <v xml:space="preserve">  </v>
      </c>
      <c r="J1304" s="42" t="str">
        <f>IFERROR(AVERAGE(Data!J1306), "  ")</f>
        <v xml:space="preserve">  </v>
      </c>
      <c r="K1304" s="44" t="str">
        <f>IFERROR(AVERAGE(Data!K1306), "  ")</f>
        <v xml:space="preserve">  </v>
      </c>
      <c r="L1304" s="45" t="str">
        <f>IFERROR(AVERAGE(Data!L1306), "  ")</f>
        <v xml:space="preserve">  </v>
      </c>
    </row>
    <row r="1305" spans="1:12" x14ac:dyDescent="0.2">
      <c r="A1305" s="43"/>
      <c r="B1305" s="42" t="str">
        <f>IFERROR(AVERAGE(Data!B1307), "  ")</f>
        <v xml:space="preserve">  </v>
      </c>
      <c r="C1305" s="42" t="str">
        <f>IFERROR(AVERAGE(Data!C1307), "  ")</f>
        <v xml:space="preserve">  </v>
      </c>
      <c r="D1305" s="42" t="str">
        <f>IFERROR(AVERAGE(Data!D1307), "  ")</f>
        <v xml:space="preserve">  </v>
      </c>
      <c r="E1305" s="42" t="str">
        <f>IFERROR(AVERAGE(Data!E1307), "  ")</f>
        <v xml:space="preserve">  </v>
      </c>
      <c r="F1305" s="42" t="str">
        <f>IFERROR(AVERAGE(Data!F1307), "  ")</f>
        <v xml:space="preserve">  </v>
      </c>
      <c r="G1305" s="42" t="str">
        <f>IFERROR(AVERAGE(Data!G1307), "  ")</f>
        <v xml:space="preserve">  </v>
      </c>
      <c r="H1305" s="44" t="str">
        <f>IFERROR(AVERAGE(Data!H1307), "  ")</f>
        <v xml:space="preserve">  </v>
      </c>
      <c r="I1305" s="44" t="str">
        <f>IFERROR(AVERAGE(Data!I1307), "  ")</f>
        <v xml:space="preserve">  </v>
      </c>
      <c r="J1305" s="42" t="str">
        <f>IFERROR(AVERAGE(Data!J1307), "  ")</f>
        <v xml:space="preserve">  </v>
      </c>
      <c r="K1305" s="44" t="str">
        <f>IFERROR(AVERAGE(Data!K1307), "  ")</f>
        <v xml:space="preserve">  </v>
      </c>
      <c r="L1305" s="45" t="str">
        <f>IFERROR(AVERAGE(Data!L1307), "  ")</f>
        <v xml:space="preserve">  </v>
      </c>
    </row>
    <row r="1306" spans="1:12" x14ac:dyDescent="0.2">
      <c r="A1306" s="43"/>
      <c r="B1306" s="42" t="str">
        <f>IFERROR(AVERAGE(Data!B1308), "  ")</f>
        <v xml:space="preserve">  </v>
      </c>
      <c r="C1306" s="42" t="str">
        <f>IFERROR(AVERAGE(Data!C1308), "  ")</f>
        <v xml:space="preserve">  </v>
      </c>
      <c r="D1306" s="42" t="str">
        <f>IFERROR(AVERAGE(Data!D1308), "  ")</f>
        <v xml:space="preserve">  </v>
      </c>
      <c r="E1306" s="42" t="str">
        <f>IFERROR(AVERAGE(Data!E1308), "  ")</f>
        <v xml:space="preserve">  </v>
      </c>
      <c r="F1306" s="42" t="str">
        <f>IFERROR(AVERAGE(Data!F1308), "  ")</f>
        <v xml:space="preserve">  </v>
      </c>
      <c r="G1306" s="42" t="str">
        <f>IFERROR(AVERAGE(Data!G1308), "  ")</f>
        <v xml:space="preserve">  </v>
      </c>
      <c r="H1306" s="44" t="str">
        <f>IFERROR(AVERAGE(Data!H1308), "  ")</f>
        <v xml:space="preserve">  </v>
      </c>
      <c r="I1306" s="44" t="str">
        <f>IFERROR(AVERAGE(Data!I1308), "  ")</f>
        <v xml:space="preserve">  </v>
      </c>
      <c r="J1306" s="42" t="str">
        <f>IFERROR(AVERAGE(Data!J1308), "  ")</f>
        <v xml:space="preserve">  </v>
      </c>
      <c r="K1306" s="44" t="str">
        <f>IFERROR(AVERAGE(Data!K1308), "  ")</f>
        <v xml:space="preserve">  </v>
      </c>
      <c r="L1306" s="45" t="str">
        <f>IFERROR(AVERAGE(Data!L1308), "  ")</f>
        <v xml:space="preserve">  </v>
      </c>
    </row>
    <row r="1307" spans="1:12" x14ac:dyDescent="0.2">
      <c r="A1307" s="43"/>
      <c r="B1307" s="42" t="str">
        <f>IFERROR(AVERAGE(Data!B1309), "  ")</f>
        <v xml:space="preserve">  </v>
      </c>
      <c r="C1307" s="42" t="str">
        <f>IFERROR(AVERAGE(Data!C1309), "  ")</f>
        <v xml:space="preserve">  </v>
      </c>
      <c r="D1307" s="42" t="str">
        <f>IFERROR(AVERAGE(Data!D1309), "  ")</f>
        <v xml:space="preserve">  </v>
      </c>
      <c r="E1307" s="42" t="str">
        <f>IFERROR(AVERAGE(Data!E1309), "  ")</f>
        <v xml:space="preserve">  </v>
      </c>
      <c r="F1307" s="42" t="str">
        <f>IFERROR(AVERAGE(Data!F1309), "  ")</f>
        <v xml:space="preserve">  </v>
      </c>
      <c r="G1307" s="42" t="str">
        <f>IFERROR(AVERAGE(Data!G1309), "  ")</f>
        <v xml:space="preserve">  </v>
      </c>
      <c r="H1307" s="44" t="str">
        <f>IFERROR(AVERAGE(Data!H1309), "  ")</f>
        <v xml:space="preserve">  </v>
      </c>
      <c r="I1307" s="44" t="str">
        <f>IFERROR(AVERAGE(Data!I1309), "  ")</f>
        <v xml:space="preserve">  </v>
      </c>
      <c r="J1307" s="42" t="str">
        <f>IFERROR(AVERAGE(Data!J1309), "  ")</f>
        <v xml:space="preserve">  </v>
      </c>
      <c r="K1307" s="44" t="str">
        <f>IFERROR(AVERAGE(Data!K1309), "  ")</f>
        <v xml:space="preserve">  </v>
      </c>
      <c r="L1307" s="45" t="str">
        <f>IFERROR(AVERAGE(Data!L1309), "  ")</f>
        <v xml:space="preserve">  </v>
      </c>
    </row>
    <row r="1308" spans="1:12" x14ac:dyDescent="0.2">
      <c r="A1308" s="43"/>
      <c r="B1308" s="42" t="str">
        <f>IFERROR(AVERAGE(Data!B1310), "  ")</f>
        <v xml:space="preserve">  </v>
      </c>
      <c r="C1308" s="42" t="str">
        <f>IFERROR(AVERAGE(Data!C1310), "  ")</f>
        <v xml:space="preserve">  </v>
      </c>
      <c r="D1308" s="42" t="str">
        <f>IFERROR(AVERAGE(Data!D1310), "  ")</f>
        <v xml:space="preserve">  </v>
      </c>
      <c r="E1308" s="42" t="str">
        <f>IFERROR(AVERAGE(Data!E1310), "  ")</f>
        <v xml:space="preserve">  </v>
      </c>
      <c r="F1308" s="42" t="str">
        <f>IFERROR(AVERAGE(Data!F1310), "  ")</f>
        <v xml:space="preserve">  </v>
      </c>
      <c r="G1308" s="42" t="str">
        <f>IFERROR(AVERAGE(Data!G1310), "  ")</f>
        <v xml:space="preserve">  </v>
      </c>
      <c r="H1308" s="44" t="str">
        <f>IFERROR(AVERAGE(Data!H1310), "  ")</f>
        <v xml:space="preserve">  </v>
      </c>
      <c r="I1308" s="44" t="str">
        <f>IFERROR(AVERAGE(Data!I1310), "  ")</f>
        <v xml:space="preserve">  </v>
      </c>
      <c r="J1308" s="42" t="str">
        <f>IFERROR(AVERAGE(Data!J1310), "  ")</f>
        <v xml:space="preserve">  </v>
      </c>
      <c r="K1308" s="44" t="str">
        <f>IFERROR(AVERAGE(Data!K1310), "  ")</f>
        <v xml:space="preserve">  </v>
      </c>
      <c r="L1308" s="45" t="str">
        <f>IFERROR(AVERAGE(Data!L1310), "  ")</f>
        <v xml:space="preserve">  </v>
      </c>
    </row>
    <row r="1309" spans="1:12" x14ac:dyDescent="0.2">
      <c r="A1309" s="43"/>
      <c r="B1309" s="42" t="str">
        <f>IFERROR(AVERAGE(Data!B1311), "  ")</f>
        <v xml:space="preserve">  </v>
      </c>
      <c r="C1309" s="42" t="str">
        <f>IFERROR(AVERAGE(Data!C1311), "  ")</f>
        <v xml:space="preserve">  </v>
      </c>
      <c r="D1309" s="42" t="str">
        <f>IFERROR(AVERAGE(Data!D1311), "  ")</f>
        <v xml:space="preserve">  </v>
      </c>
      <c r="E1309" s="42" t="str">
        <f>IFERROR(AVERAGE(Data!E1311), "  ")</f>
        <v xml:space="preserve">  </v>
      </c>
      <c r="F1309" s="42" t="str">
        <f>IFERROR(AVERAGE(Data!F1311), "  ")</f>
        <v xml:space="preserve">  </v>
      </c>
      <c r="G1309" s="42" t="str">
        <f>IFERROR(AVERAGE(Data!G1311), "  ")</f>
        <v xml:space="preserve">  </v>
      </c>
      <c r="H1309" s="44" t="str">
        <f>IFERROR(AVERAGE(Data!H1311), "  ")</f>
        <v xml:space="preserve">  </v>
      </c>
      <c r="I1309" s="44" t="str">
        <f>IFERROR(AVERAGE(Data!I1311), "  ")</f>
        <v xml:space="preserve">  </v>
      </c>
      <c r="J1309" s="42" t="str">
        <f>IFERROR(AVERAGE(Data!J1311), "  ")</f>
        <v xml:space="preserve">  </v>
      </c>
      <c r="K1309" s="44" t="str">
        <f>IFERROR(AVERAGE(Data!K1311), "  ")</f>
        <v xml:space="preserve">  </v>
      </c>
      <c r="L1309" s="45" t="str">
        <f>IFERROR(AVERAGE(Data!L1311), "  ")</f>
        <v xml:space="preserve">  </v>
      </c>
    </row>
    <row r="1310" spans="1:12" x14ac:dyDescent="0.2">
      <c r="A1310" s="43"/>
      <c r="B1310" s="42" t="str">
        <f>IFERROR(AVERAGE(Data!B1312), "  ")</f>
        <v xml:space="preserve">  </v>
      </c>
      <c r="C1310" s="42" t="str">
        <f>IFERROR(AVERAGE(Data!C1312), "  ")</f>
        <v xml:space="preserve">  </v>
      </c>
      <c r="D1310" s="42" t="str">
        <f>IFERROR(AVERAGE(Data!D1312), "  ")</f>
        <v xml:space="preserve">  </v>
      </c>
      <c r="E1310" s="42" t="str">
        <f>IFERROR(AVERAGE(Data!E1312), "  ")</f>
        <v xml:space="preserve">  </v>
      </c>
      <c r="F1310" s="42" t="str">
        <f>IFERROR(AVERAGE(Data!F1312), "  ")</f>
        <v xml:space="preserve">  </v>
      </c>
      <c r="G1310" s="42" t="str">
        <f>IFERROR(AVERAGE(Data!G1312), "  ")</f>
        <v xml:space="preserve">  </v>
      </c>
      <c r="H1310" s="44" t="str">
        <f>IFERROR(AVERAGE(Data!H1312), "  ")</f>
        <v xml:space="preserve">  </v>
      </c>
      <c r="I1310" s="44" t="str">
        <f>IFERROR(AVERAGE(Data!I1312), "  ")</f>
        <v xml:space="preserve">  </v>
      </c>
      <c r="J1310" s="42" t="str">
        <f>IFERROR(AVERAGE(Data!J1312), "  ")</f>
        <v xml:space="preserve">  </v>
      </c>
      <c r="K1310" s="44" t="str">
        <f>IFERROR(AVERAGE(Data!K1312), "  ")</f>
        <v xml:space="preserve">  </v>
      </c>
      <c r="L1310" s="45" t="str">
        <f>IFERROR(AVERAGE(Data!L1312), "  ")</f>
        <v xml:space="preserve">  </v>
      </c>
    </row>
    <row r="1311" spans="1:12" x14ac:dyDescent="0.2">
      <c r="A1311" s="43"/>
      <c r="B1311" s="42" t="str">
        <f>IFERROR(AVERAGE(Data!B1313), "  ")</f>
        <v xml:space="preserve">  </v>
      </c>
      <c r="C1311" s="42" t="str">
        <f>IFERROR(AVERAGE(Data!C1313), "  ")</f>
        <v xml:space="preserve">  </v>
      </c>
      <c r="D1311" s="42" t="str">
        <f>IFERROR(AVERAGE(Data!D1313), "  ")</f>
        <v xml:space="preserve">  </v>
      </c>
      <c r="E1311" s="42" t="str">
        <f>IFERROR(AVERAGE(Data!E1313), "  ")</f>
        <v xml:space="preserve">  </v>
      </c>
      <c r="F1311" s="42" t="str">
        <f>IFERROR(AVERAGE(Data!F1313), "  ")</f>
        <v xml:space="preserve">  </v>
      </c>
      <c r="G1311" s="42" t="str">
        <f>IFERROR(AVERAGE(Data!G1313), "  ")</f>
        <v xml:space="preserve">  </v>
      </c>
      <c r="H1311" s="44" t="str">
        <f>IFERROR(AVERAGE(Data!H1313), "  ")</f>
        <v xml:space="preserve">  </v>
      </c>
      <c r="I1311" s="44" t="str">
        <f>IFERROR(AVERAGE(Data!I1313), "  ")</f>
        <v xml:space="preserve">  </v>
      </c>
      <c r="J1311" s="42" t="str">
        <f>IFERROR(AVERAGE(Data!J1313), "  ")</f>
        <v xml:space="preserve">  </v>
      </c>
      <c r="K1311" s="44" t="str">
        <f>IFERROR(AVERAGE(Data!K1313), "  ")</f>
        <v xml:space="preserve">  </v>
      </c>
      <c r="L1311" s="45" t="str">
        <f>IFERROR(AVERAGE(Data!L1313), "  ")</f>
        <v xml:space="preserve">  </v>
      </c>
    </row>
    <row r="1312" spans="1:12" x14ac:dyDescent="0.2">
      <c r="A1312" s="43"/>
      <c r="B1312" s="42" t="str">
        <f>IFERROR(AVERAGE(Data!B1314), "  ")</f>
        <v xml:space="preserve">  </v>
      </c>
      <c r="C1312" s="42" t="str">
        <f>IFERROR(AVERAGE(Data!C1314), "  ")</f>
        <v xml:space="preserve">  </v>
      </c>
      <c r="D1312" s="42" t="str">
        <f>IFERROR(AVERAGE(Data!D1314), "  ")</f>
        <v xml:space="preserve">  </v>
      </c>
      <c r="E1312" s="42" t="str">
        <f>IFERROR(AVERAGE(Data!E1314), "  ")</f>
        <v xml:space="preserve">  </v>
      </c>
      <c r="F1312" s="42" t="str">
        <f>IFERROR(AVERAGE(Data!F1314), "  ")</f>
        <v xml:space="preserve">  </v>
      </c>
      <c r="G1312" s="42" t="str">
        <f>IFERROR(AVERAGE(Data!G1314), "  ")</f>
        <v xml:space="preserve">  </v>
      </c>
      <c r="H1312" s="44" t="str">
        <f>IFERROR(AVERAGE(Data!H1314), "  ")</f>
        <v xml:space="preserve">  </v>
      </c>
      <c r="I1312" s="44" t="str">
        <f>IFERROR(AVERAGE(Data!I1314), "  ")</f>
        <v xml:space="preserve">  </v>
      </c>
      <c r="J1312" s="42" t="str">
        <f>IFERROR(AVERAGE(Data!J1314), "  ")</f>
        <v xml:space="preserve">  </v>
      </c>
      <c r="K1312" s="44" t="str">
        <f>IFERROR(AVERAGE(Data!K1314), "  ")</f>
        <v xml:space="preserve">  </v>
      </c>
      <c r="L1312" s="45" t="str">
        <f>IFERROR(AVERAGE(Data!L1314), "  ")</f>
        <v xml:space="preserve">  </v>
      </c>
    </row>
    <row r="1313" spans="1:12" x14ac:dyDescent="0.2">
      <c r="A1313" s="43"/>
      <c r="B1313" s="42" t="str">
        <f>IFERROR(AVERAGE(Data!B1315), "  ")</f>
        <v xml:space="preserve">  </v>
      </c>
      <c r="C1313" s="42" t="str">
        <f>IFERROR(AVERAGE(Data!C1315), "  ")</f>
        <v xml:space="preserve">  </v>
      </c>
      <c r="D1313" s="42" t="str">
        <f>IFERROR(AVERAGE(Data!D1315), "  ")</f>
        <v xml:space="preserve">  </v>
      </c>
      <c r="E1313" s="42" t="str">
        <f>IFERROR(AVERAGE(Data!E1315), "  ")</f>
        <v xml:space="preserve">  </v>
      </c>
      <c r="F1313" s="42" t="str">
        <f>IFERROR(AVERAGE(Data!F1315), "  ")</f>
        <v xml:space="preserve">  </v>
      </c>
      <c r="G1313" s="42" t="str">
        <f>IFERROR(AVERAGE(Data!G1315), "  ")</f>
        <v xml:space="preserve">  </v>
      </c>
      <c r="H1313" s="44" t="str">
        <f>IFERROR(AVERAGE(Data!H1315), "  ")</f>
        <v xml:space="preserve">  </v>
      </c>
      <c r="I1313" s="44" t="str">
        <f>IFERROR(AVERAGE(Data!I1315), "  ")</f>
        <v xml:space="preserve">  </v>
      </c>
      <c r="J1313" s="42" t="str">
        <f>IFERROR(AVERAGE(Data!J1315), "  ")</f>
        <v xml:space="preserve">  </v>
      </c>
      <c r="K1313" s="44" t="str">
        <f>IFERROR(AVERAGE(Data!K1315), "  ")</f>
        <v xml:space="preserve">  </v>
      </c>
      <c r="L1313" s="45" t="str">
        <f>IFERROR(AVERAGE(Data!L1315), "  ")</f>
        <v xml:space="preserve">  </v>
      </c>
    </row>
    <row r="1314" spans="1:12" x14ac:dyDescent="0.2">
      <c r="A1314" s="43"/>
      <c r="B1314" s="42" t="str">
        <f>IFERROR(AVERAGE(Data!B1316), "  ")</f>
        <v xml:space="preserve">  </v>
      </c>
      <c r="C1314" s="42" t="str">
        <f>IFERROR(AVERAGE(Data!C1316), "  ")</f>
        <v xml:space="preserve">  </v>
      </c>
      <c r="D1314" s="42" t="str">
        <f>IFERROR(AVERAGE(Data!D1316), "  ")</f>
        <v xml:space="preserve">  </v>
      </c>
      <c r="E1314" s="42" t="str">
        <f>IFERROR(AVERAGE(Data!E1316), "  ")</f>
        <v xml:space="preserve">  </v>
      </c>
      <c r="F1314" s="42" t="str">
        <f>IFERROR(AVERAGE(Data!F1316), "  ")</f>
        <v xml:space="preserve">  </v>
      </c>
      <c r="G1314" s="42" t="str">
        <f>IFERROR(AVERAGE(Data!G1316), "  ")</f>
        <v xml:space="preserve">  </v>
      </c>
      <c r="H1314" s="44" t="str">
        <f>IFERROR(AVERAGE(Data!H1316), "  ")</f>
        <v xml:space="preserve">  </v>
      </c>
      <c r="I1314" s="44" t="str">
        <f>IFERROR(AVERAGE(Data!I1316), "  ")</f>
        <v xml:space="preserve">  </v>
      </c>
      <c r="J1314" s="42" t="str">
        <f>IFERROR(AVERAGE(Data!J1316), "  ")</f>
        <v xml:space="preserve">  </v>
      </c>
      <c r="K1314" s="44" t="str">
        <f>IFERROR(AVERAGE(Data!K1316), "  ")</f>
        <v xml:space="preserve">  </v>
      </c>
      <c r="L1314" s="45" t="str">
        <f>IFERROR(AVERAGE(Data!L1316), "  ")</f>
        <v xml:space="preserve">  </v>
      </c>
    </row>
    <row r="1315" spans="1:12" x14ac:dyDescent="0.2">
      <c r="A1315" s="43"/>
      <c r="B1315" s="42" t="str">
        <f>IFERROR(AVERAGE(Data!B1317), "  ")</f>
        <v xml:space="preserve">  </v>
      </c>
      <c r="C1315" s="42" t="str">
        <f>IFERROR(AVERAGE(Data!C1317), "  ")</f>
        <v xml:space="preserve">  </v>
      </c>
      <c r="D1315" s="42" t="str">
        <f>IFERROR(AVERAGE(Data!D1317), "  ")</f>
        <v xml:space="preserve">  </v>
      </c>
      <c r="E1315" s="42" t="str">
        <f>IFERROR(AVERAGE(Data!E1317), "  ")</f>
        <v xml:space="preserve">  </v>
      </c>
      <c r="F1315" s="42" t="str">
        <f>IFERROR(AVERAGE(Data!F1317), "  ")</f>
        <v xml:space="preserve">  </v>
      </c>
      <c r="G1315" s="42" t="str">
        <f>IFERROR(AVERAGE(Data!G1317), "  ")</f>
        <v xml:space="preserve">  </v>
      </c>
      <c r="H1315" s="44" t="str">
        <f>IFERROR(AVERAGE(Data!H1317), "  ")</f>
        <v xml:space="preserve">  </v>
      </c>
      <c r="I1315" s="44" t="str">
        <f>IFERROR(AVERAGE(Data!I1317), "  ")</f>
        <v xml:space="preserve">  </v>
      </c>
      <c r="J1315" s="42" t="str">
        <f>IFERROR(AVERAGE(Data!J1317), "  ")</f>
        <v xml:space="preserve">  </v>
      </c>
      <c r="K1315" s="44" t="str">
        <f>IFERROR(AVERAGE(Data!K1317), "  ")</f>
        <v xml:space="preserve">  </v>
      </c>
      <c r="L1315" s="45" t="str">
        <f>IFERROR(AVERAGE(Data!L1317), "  ")</f>
        <v xml:space="preserve">  </v>
      </c>
    </row>
    <row r="1316" spans="1:12" x14ac:dyDescent="0.2">
      <c r="A1316" s="43"/>
      <c r="B1316" s="42" t="str">
        <f>IFERROR(AVERAGE(Data!B1318), "  ")</f>
        <v xml:space="preserve">  </v>
      </c>
      <c r="C1316" s="42" t="str">
        <f>IFERROR(AVERAGE(Data!C1318), "  ")</f>
        <v xml:space="preserve">  </v>
      </c>
      <c r="D1316" s="42" t="str">
        <f>IFERROR(AVERAGE(Data!D1318), "  ")</f>
        <v xml:space="preserve">  </v>
      </c>
      <c r="E1316" s="42" t="str">
        <f>IFERROR(AVERAGE(Data!E1318), "  ")</f>
        <v xml:space="preserve">  </v>
      </c>
      <c r="F1316" s="42" t="str">
        <f>IFERROR(AVERAGE(Data!F1318), "  ")</f>
        <v xml:space="preserve">  </v>
      </c>
      <c r="G1316" s="42" t="str">
        <f>IFERROR(AVERAGE(Data!G1318), "  ")</f>
        <v xml:space="preserve">  </v>
      </c>
      <c r="H1316" s="44" t="str">
        <f>IFERROR(AVERAGE(Data!H1318), "  ")</f>
        <v xml:space="preserve">  </v>
      </c>
      <c r="I1316" s="44" t="str">
        <f>IFERROR(AVERAGE(Data!I1318), "  ")</f>
        <v xml:space="preserve">  </v>
      </c>
      <c r="J1316" s="42" t="str">
        <f>IFERROR(AVERAGE(Data!J1318), "  ")</f>
        <v xml:space="preserve">  </v>
      </c>
      <c r="K1316" s="44" t="str">
        <f>IFERROR(AVERAGE(Data!K1318), "  ")</f>
        <v xml:space="preserve">  </v>
      </c>
      <c r="L1316" s="45" t="str">
        <f>IFERROR(AVERAGE(Data!L1318), "  ")</f>
        <v xml:space="preserve">  </v>
      </c>
    </row>
    <row r="1317" spans="1:12" x14ac:dyDescent="0.2">
      <c r="A1317" s="43"/>
      <c r="B1317" s="42" t="str">
        <f>IFERROR(AVERAGE(Data!B1319), "  ")</f>
        <v xml:space="preserve">  </v>
      </c>
      <c r="C1317" s="42" t="str">
        <f>IFERROR(AVERAGE(Data!C1319), "  ")</f>
        <v xml:space="preserve">  </v>
      </c>
      <c r="D1317" s="42" t="str">
        <f>IFERROR(AVERAGE(Data!D1319), "  ")</f>
        <v xml:space="preserve">  </v>
      </c>
      <c r="E1317" s="42" t="str">
        <f>IFERROR(AVERAGE(Data!E1319), "  ")</f>
        <v xml:space="preserve">  </v>
      </c>
      <c r="F1317" s="42" t="str">
        <f>IFERROR(AVERAGE(Data!F1319), "  ")</f>
        <v xml:space="preserve">  </v>
      </c>
      <c r="G1317" s="42" t="str">
        <f>IFERROR(AVERAGE(Data!G1319), "  ")</f>
        <v xml:space="preserve">  </v>
      </c>
      <c r="H1317" s="44" t="str">
        <f>IFERROR(AVERAGE(Data!H1319), "  ")</f>
        <v xml:space="preserve">  </v>
      </c>
      <c r="I1317" s="44" t="str">
        <f>IFERROR(AVERAGE(Data!I1319), "  ")</f>
        <v xml:space="preserve">  </v>
      </c>
      <c r="J1317" s="42" t="str">
        <f>IFERROR(AVERAGE(Data!J1319), "  ")</f>
        <v xml:space="preserve">  </v>
      </c>
      <c r="K1317" s="44" t="str">
        <f>IFERROR(AVERAGE(Data!K1319), "  ")</f>
        <v xml:space="preserve">  </v>
      </c>
      <c r="L1317" s="45" t="str">
        <f>IFERROR(AVERAGE(Data!L1319), "  ")</f>
        <v xml:space="preserve">  </v>
      </c>
    </row>
    <row r="1318" spans="1:12" x14ac:dyDescent="0.2">
      <c r="A1318" s="43"/>
      <c r="B1318" s="42" t="str">
        <f>IFERROR(AVERAGE(Data!B1320), "  ")</f>
        <v xml:space="preserve">  </v>
      </c>
      <c r="C1318" s="42" t="str">
        <f>IFERROR(AVERAGE(Data!C1320), "  ")</f>
        <v xml:space="preserve">  </v>
      </c>
      <c r="D1318" s="42" t="str">
        <f>IFERROR(AVERAGE(Data!D1320), "  ")</f>
        <v xml:space="preserve">  </v>
      </c>
      <c r="E1318" s="42" t="str">
        <f>IFERROR(AVERAGE(Data!E1320), "  ")</f>
        <v xml:space="preserve">  </v>
      </c>
      <c r="F1318" s="42" t="str">
        <f>IFERROR(AVERAGE(Data!F1320), "  ")</f>
        <v xml:space="preserve">  </v>
      </c>
      <c r="G1318" s="42" t="str">
        <f>IFERROR(AVERAGE(Data!G1320), "  ")</f>
        <v xml:space="preserve">  </v>
      </c>
      <c r="H1318" s="44" t="str">
        <f>IFERROR(AVERAGE(Data!H1320), "  ")</f>
        <v xml:space="preserve">  </v>
      </c>
      <c r="I1318" s="44" t="str">
        <f>IFERROR(AVERAGE(Data!I1320), "  ")</f>
        <v xml:space="preserve">  </v>
      </c>
      <c r="J1318" s="42" t="str">
        <f>IFERROR(AVERAGE(Data!J1320), "  ")</f>
        <v xml:space="preserve">  </v>
      </c>
      <c r="K1318" s="44" t="str">
        <f>IFERROR(AVERAGE(Data!K1320), "  ")</f>
        <v xml:space="preserve">  </v>
      </c>
      <c r="L1318" s="45" t="str">
        <f>IFERROR(AVERAGE(Data!L1320), "  ")</f>
        <v xml:space="preserve">  </v>
      </c>
    </row>
    <row r="1319" spans="1:12" x14ac:dyDescent="0.2">
      <c r="A1319" s="43"/>
      <c r="B1319" s="42" t="str">
        <f>IFERROR(AVERAGE(Data!B1321), "  ")</f>
        <v xml:space="preserve">  </v>
      </c>
      <c r="C1319" s="42" t="str">
        <f>IFERROR(AVERAGE(Data!C1321), "  ")</f>
        <v xml:space="preserve">  </v>
      </c>
      <c r="D1319" s="42" t="str">
        <f>IFERROR(AVERAGE(Data!D1321), "  ")</f>
        <v xml:space="preserve">  </v>
      </c>
      <c r="E1319" s="42" t="str">
        <f>IFERROR(AVERAGE(Data!E1321), "  ")</f>
        <v xml:space="preserve">  </v>
      </c>
      <c r="F1319" s="42" t="str">
        <f>IFERROR(AVERAGE(Data!F1321), "  ")</f>
        <v xml:space="preserve">  </v>
      </c>
      <c r="G1319" s="42" t="str">
        <f>IFERROR(AVERAGE(Data!G1321), "  ")</f>
        <v xml:space="preserve">  </v>
      </c>
      <c r="H1319" s="44" t="str">
        <f>IFERROR(AVERAGE(Data!H1321), "  ")</f>
        <v xml:space="preserve">  </v>
      </c>
      <c r="I1319" s="44" t="str">
        <f>IFERROR(AVERAGE(Data!I1321), "  ")</f>
        <v xml:space="preserve">  </v>
      </c>
      <c r="J1319" s="42" t="str">
        <f>IFERROR(AVERAGE(Data!J1321), "  ")</f>
        <v xml:space="preserve">  </v>
      </c>
      <c r="K1319" s="44" t="str">
        <f>IFERROR(AVERAGE(Data!K1321), "  ")</f>
        <v xml:space="preserve">  </v>
      </c>
      <c r="L1319" s="45" t="str">
        <f>IFERROR(AVERAGE(Data!L1321), "  ")</f>
        <v xml:space="preserve">  </v>
      </c>
    </row>
    <row r="1320" spans="1:12" x14ac:dyDescent="0.2">
      <c r="A1320" s="43"/>
      <c r="B1320" s="42" t="str">
        <f>IFERROR(AVERAGE(Data!B1322), "  ")</f>
        <v xml:space="preserve">  </v>
      </c>
      <c r="C1320" s="42" t="str">
        <f>IFERROR(AVERAGE(Data!C1322), "  ")</f>
        <v xml:space="preserve">  </v>
      </c>
      <c r="D1320" s="42" t="str">
        <f>IFERROR(AVERAGE(Data!D1322), "  ")</f>
        <v xml:space="preserve">  </v>
      </c>
      <c r="E1320" s="42" t="str">
        <f>IFERROR(AVERAGE(Data!E1322), "  ")</f>
        <v xml:space="preserve">  </v>
      </c>
      <c r="F1320" s="42" t="str">
        <f>IFERROR(AVERAGE(Data!F1322), "  ")</f>
        <v xml:space="preserve">  </v>
      </c>
      <c r="G1320" s="42" t="str">
        <f>IFERROR(AVERAGE(Data!G1322), "  ")</f>
        <v xml:space="preserve">  </v>
      </c>
      <c r="H1320" s="44" t="str">
        <f>IFERROR(AVERAGE(Data!H1322), "  ")</f>
        <v xml:space="preserve">  </v>
      </c>
      <c r="I1320" s="44" t="str">
        <f>IFERROR(AVERAGE(Data!I1322), "  ")</f>
        <v xml:space="preserve">  </v>
      </c>
      <c r="J1320" s="42" t="str">
        <f>IFERROR(AVERAGE(Data!J1322), "  ")</f>
        <v xml:space="preserve">  </v>
      </c>
      <c r="K1320" s="44" t="str">
        <f>IFERROR(AVERAGE(Data!K1322), "  ")</f>
        <v xml:space="preserve">  </v>
      </c>
      <c r="L1320" s="45" t="str">
        <f>IFERROR(AVERAGE(Data!L1322), "  ")</f>
        <v xml:space="preserve">  </v>
      </c>
    </row>
    <row r="1321" spans="1:12" x14ac:dyDescent="0.2">
      <c r="A1321" s="43"/>
      <c r="B1321" s="42" t="str">
        <f>IFERROR(AVERAGE(Data!B1323), "  ")</f>
        <v xml:space="preserve">  </v>
      </c>
      <c r="C1321" s="42" t="str">
        <f>IFERROR(AVERAGE(Data!C1323), "  ")</f>
        <v xml:space="preserve">  </v>
      </c>
      <c r="D1321" s="42" t="str">
        <f>IFERROR(AVERAGE(Data!D1323), "  ")</f>
        <v xml:space="preserve">  </v>
      </c>
      <c r="E1321" s="42" t="str">
        <f>IFERROR(AVERAGE(Data!E1323), "  ")</f>
        <v xml:space="preserve">  </v>
      </c>
      <c r="F1321" s="42" t="str">
        <f>IFERROR(AVERAGE(Data!F1323), "  ")</f>
        <v xml:space="preserve">  </v>
      </c>
      <c r="G1321" s="42" t="str">
        <f>IFERROR(AVERAGE(Data!G1323), "  ")</f>
        <v xml:space="preserve">  </v>
      </c>
      <c r="H1321" s="44" t="str">
        <f>IFERROR(AVERAGE(Data!H1323), "  ")</f>
        <v xml:space="preserve">  </v>
      </c>
      <c r="I1321" s="44" t="str">
        <f>IFERROR(AVERAGE(Data!I1323), "  ")</f>
        <v xml:space="preserve">  </v>
      </c>
      <c r="J1321" s="42" t="str">
        <f>IFERROR(AVERAGE(Data!J1323), "  ")</f>
        <v xml:space="preserve">  </v>
      </c>
      <c r="K1321" s="44" t="str">
        <f>IFERROR(AVERAGE(Data!K1323), "  ")</f>
        <v xml:space="preserve">  </v>
      </c>
      <c r="L1321" s="45" t="str">
        <f>IFERROR(AVERAGE(Data!L1323), "  ")</f>
        <v xml:space="preserve">  </v>
      </c>
    </row>
    <row r="1322" spans="1:12" x14ac:dyDescent="0.2">
      <c r="A1322" s="43"/>
      <c r="B1322" s="42" t="str">
        <f>IFERROR(AVERAGE(Data!B1324), "  ")</f>
        <v xml:space="preserve">  </v>
      </c>
      <c r="C1322" s="42" t="str">
        <f>IFERROR(AVERAGE(Data!C1324), "  ")</f>
        <v xml:space="preserve">  </v>
      </c>
      <c r="D1322" s="42" t="str">
        <f>IFERROR(AVERAGE(Data!D1324), "  ")</f>
        <v xml:space="preserve">  </v>
      </c>
      <c r="E1322" s="42" t="str">
        <f>IFERROR(AVERAGE(Data!E1324), "  ")</f>
        <v xml:space="preserve">  </v>
      </c>
      <c r="F1322" s="42" t="str">
        <f>IFERROR(AVERAGE(Data!F1324), "  ")</f>
        <v xml:space="preserve">  </v>
      </c>
      <c r="G1322" s="42" t="str">
        <f>IFERROR(AVERAGE(Data!G1324), "  ")</f>
        <v xml:space="preserve">  </v>
      </c>
      <c r="H1322" s="44" t="str">
        <f>IFERROR(AVERAGE(Data!H1324), "  ")</f>
        <v xml:space="preserve">  </v>
      </c>
      <c r="I1322" s="44" t="str">
        <f>IFERROR(AVERAGE(Data!I1324), "  ")</f>
        <v xml:space="preserve">  </v>
      </c>
      <c r="J1322" s="42" t="str">
        <f>IFERROR(AVERAGE(Data!J1324), "  ")</f>
        <v xml:space="preserve">  </v>
      </c>
      <c r="K1322" s="44" t="str">
        <f>IFERROR(AVERAGE(Data!K1324), "  ")</f>
        <v xml:space="preserve">  </v>
      </c>
      <c r="L1322" s="45" t="str">
        <f>IFERROR(AVERAGE(Data!L1324), "  ")</f>
        <v xml:space="preserve">  </v>
      </c>
    </row>
    <row r="1323" spans="1:12" x14ac:dyDescent="0.2">
      <c r="A1323" s="43"/>
      <c r="B1323" s="42" t="str">
        <f>IFERROR(AVERAGE(Data!B1325), "  ")</f>
        <v xml:space="preserve">  </v>
      </c>
      <c r="C1323" s="42" t="str">
        <f>IFERROR(AVERAGE(Data!C1325), "  ")</f>
        <v xml:space="preserve">  </v>
      </c>
      <c r="D1323" s="42" t="str">
        <f>IFERROR(AVERAGE(Data!D1325), "  ")</f>
        <v xml:space="preserve">  </v>
      </c>
      <c r="E1323" s="42" t="str">
        <f>IFERROR(AVERAGE(Data!E1325), "  ")</f>
        <v xml:space="preserve">  </v>
      </c>
      <c r="F1323" s="42" t="str">
        <f>IFERROR(AVERAGE(Data!F1325), "  ")</f>
        <v xml:space="preserve">  </v>
      </c>
      <c r="G1323" s="42" t="str">
        <f>IFERROR(AVERAGE(Data!G1325), "  ")</f>
        <v xml:space="preserve">  </v>
      </c>
      <c r="H1323" s="44" t="str">
        <f>IFERROR(AVERAGE(Data!H1325), "  ")</f>
        <v xml:space="preserve">  </v>
      </c>
      <c r="I1323" s="44" t="str">
        <f>IFERROR(AVERAGE(Data!I1325), "  ")</f>
        <v xml:space="preserve">  </v>
      </c>
      <c r="J1323" s="42" t="str">
        <f>IFERROR(AVERAGE(Data!J1325), "  ")</f>
        <v xml:space="preserve">  </v>
      </c>
      <c r="K1323" s="44" t="str">
        <f>IFERROR(AVERAGE(Data!K1325), "  ")</f>
        <v xml:space="preserve">  </v>
      </c>
      <c r="L1323" s="45" t="str">
        <f>IFERROR(AVERAGE(Data!L1325), "  ")</f>
        <v xml:space="preserve">  </v>
      </c>
    </row>
    <row r="1324" spans="1:12" x14ac:dyDescent="0.2">
      <c r="A1324" s="43"/>
      <c r="B1324" s="42" t="str">
        <f>IFERROR(AVERAGE(Data!B1326), "  ")</f>
        <v xml:space="preserve">  </v>
      </c>
      <c r="C1324" s="42" t="str">
        <f>IFERROR(AVERAGE(Data!C1326), "  ")</f>
        <v xml:space="preserve">  </v>
      </c>
      <c r="D1324" s="42" t="str">
        <f>IFERROR(AVERAGE(Data!D1326), "  ")</f>
        <v xml:space="preserve">  </v>
      </c>
      <c r="E1324" s="42" t="str">
        <f>IFERROR(AVERAGE(Data!E1326), "  ")</f>
        <v xml:space="preserve">  </v>
      </c>
      <c r="F1324" s="42" t="str">
        <f>IFERROR(AVERAGE(Data!F1326), "  ")</f>
        <v xml:space="preserve">  </v>
      </c>
      <c r="G1324" s="42" t="str">
        <f>IFERROR(AVERAGE(Data!G1326), "  ")</f>
        <v xml:space="preserve">  </v>
      </c>
      <c r="H1324" s="44" t="str">
        <f>IFERROR(AVERAGE(Data!H1326), "  ")</f>
        <v xml:space="preserve">  </v>
      </c>
      <c r="I1324" s="44" t="str">
        <f>IFERROR(AVERAGE(Data!I1326), "  ")</f>
        <v xml:space="preserve">  </v>
      </c>
      <c r="J1324" s="42" t="str">
        <f>IFERROR(AVERAGE(Data!J1326), "  ")</f>
        <v xml:space="preserve">  </v>
      </c>
      <c r="K1324" s="44" t="str">
        <f>IFERROR(AVERAGE(Data!K1326), "  ")</f>
        <v xml:space="preserve">  </v>
      </c>
      <c r="L1324" s="45" t="str">
        <f>IFERROR(AVERAGE(Data!L1326), "  ")</f>
        <v xml:space="preserve">  </v>
      </c>
    </row>
    <row r="1325" spans="1:12" x14ac:dyDescent="0.2">
      <c r="A1325" s="43"/>
      <c r="B1325" s="42" t="str">
        <f>IFERROR(AVERAGE(Data!B1327), "  ")</f>
        <v xml:space="preserve">  </v>
      </c>
      <c r="C1325" s="42" t="str">
        <f>IFERROR(AVERAGE(Data!C1327), "  ")</f>
        <v xml:space="preserve">  </v>
      </c>
      <c r="D1325" s="42" t="str">
        <f>IFERROR(AVERAGE(Data!D1327), "  ")</f>
        <v xml:space="preserve">  </v>
      </c>
      <c r="E1325" s="42" t="str">
        <f>IFERROR(AVERAGE(Data!E1327), "  ")</f>
        <v xml:space="preserve">  </v>
      </c>
      <c r="F1325" s="42" t="str">
        <f>IFERROR(AVERAGE(Data!F1327), "  ")</f>
        <v xml:space="preserve">  </v>
      </c>
      <c r="G1325" s="42" t="str">
        <f>IFERROR(AVERAGE(Data!G1327), "  ")</f>
        <v xml:space="preserve">  </v>
      </c>
      <c r="H1325" s="44" t="str">
        <f>IFERROR(AVERAGE(Data!H1327), "  ")</f>
        <v xml:space="preserve">  </v>
      </c>
      <c r="I1325" s="44" t="str">
        <f>IFERROR(AVERAGE(Data!I1327), "  ")</f>
        <v xml:space="preserve">  </v>
      </c>
      <c r="J1325" s="42" t="str">
        <f>IFERROR(AVERAGE(Data!J1327), "  ")</f>
        <v xml:space="preserve">  </v>
      </c>
      <c r="K1325" s="44" t="str">
        <f>IFERROR(AVERAGE(Data!K1327), "  ")</f>
        <v xml:space="preserve">  </v>
      </c>
      <c r="L1325" s="45" t="str">
        <f>IFERROR(AVERAGE(Data!L1327), "  ")</f>
        <v xml:space="preserve">  </v>
      </c>
    </row>
    <row r="1326" spans="1:12" x14ac:dyDescent="0.2">
      <c r="A1326" s="43"/>
      <c r="B1326" s="42" t="str">
        <f>IFERROR(AVERAGE(Data!B1328), "  ")</f>
        <v xml:space="preserve">  </v>
      </c>
      <c r="C1326" s="42" t="str">
        <f>IFERROR(AVERAGE(Data!C1328), "  ")</f>
        <v xml:space="preserve">  </v>
      </c>
      <c r="D1326" s="42" t="str">
        <f>IFERROR(AVERAGE(Data!D1328), "  ")</f>
        <v xml:space="preserve">  </v>
      </c>
      <c r="E1326" s="42" t="str">
        <f>IFERROR(AVERAGE(Data!E1328), "  ")</f>
        <v xml:space="preserve">  </v>
      </c>
      <c r="F1326" s="42" t="str">
        <f>IFERROR(AVERAGE(Data!F1328), "  ")</f>
        <v xml:space="preserve">  </v>
      </c>
      <c r="G1326" s="42" t="str">
        <f>IFERROR(AVERAGE(Data!G1328), "  ")</f>
        <v xml:space="preserve">  </v>
      </c>
      <c r="H1326" s="44" t="str">
        <f>IFERROR(AVERAGE(Data!H1328), "  ")</f>
        <v xml:space="preserve">  </v>
      </c>
      <c r="I1326" s="44" t="str">
        <f>IFERROR(AVERAGE(Data!I1328), "  ")</f>
        <v xml:space="preserve">  </v>
      </c>
      <c r="J1326" s="42" t="str">
        <f>IFERROR(AVERAGE(Data!J1328), "  ")</f>
        <v xml:space="preserve">  </v>
      </c>
      <c r="K1326" s="44" t="str">
        <f>IFERROR(AVERAGE(Data!K1328), "  ")</f>
        <v xml:space="preserve">  </v>
      </c>
      <c r="L1326" s="45" t="str">
        <f>IFERROR(AVERAGE(Data!L1328), "  ")</f>
        <v xml:space="preserve">  </v>
      </c>
    </row>
    <row r="1327" spans="1:12" x14ac:dyDescent="0.2">
      <c r="A1327" s="43"/>
      <c r="B1327" s="42" t="str">
        <f>IFERROR(AVERAGE(Data!B1329), "  ")</f>
        <v xml:space="preserve">  </v>
      </c>
      <c r="C1327" s="42" t="str">
        <f>IFERROR(AVERAGE(Data!C1329), "  ")</f>
        <v xml:space="preserve">  </v>
      </c>
      <c r="D1327" s="42" t="str">
        <f>IFERROR(AVERAGE(Data!D1329), "  ")</f>
        <v xml:space="preserve">  </v>
      </c>
      <c r="E1327" s="42" t="str">
        <f>IFERROR(AVERAGE(Data!E1329), "  ")</f>
        <v xml:space="preserve">  </v>
      </c>
      <c r="F1327" s="42" t="str">
        <f>IFERROR(AVERAGE(Data!F1329), "  ")</f>
        <v xml:space="preserve">  </v>
      </c>
      <c r="G1327" s="42" t="str">
        <f>IFERROR(AVERAGE(Data!G1329), "  ")</f>
        <v xml:space="preserve">  </v>
      </c>
      <c r="H1327" s="44" t="str">
        <f>IFERROR(AVERAGE(Data!H1329), "  ")</f>
        <v xml:space="preserve">  </v>
      </c>
      <c r="I1327" s="44" t="str">
        <f>IFERROR(AVERAGE(Data!I1329), "  ")</f>
        <v xml:space="preserve">  </v>
      </c>
      <c r="J1327" s="42" t="str">
        <f>IFERROR(AVERAGE(Data!J1329), "  ")</f>
        <v xml:space="preserve">  </v>
      </c>
      <c r="K1327" s="44" t="str">
        <f>IFERROR(AVERAGE(Data!K1329), "  ")</f>
        <v xml:space="preserve">  </v>
      </c>
      <c r="L1327" s="45" t="str">
        <f>IFERROR(AVERAGE(Data!L1329), "  ")</f>
        <v xml:space="preserve">  </v>
      </c>
    </row>
    <row r="1328" spans="1:12" x14ac:dyDescent="0.2">
      <c r="A1328" s="43"/>
      <c r="B1328" s="42" t="str">
        <f>IFERROR(AVERAGE(Data!B1330), "  ")</f>
        <v xml:space="preserve">  </v>
      </c>
      <c r="C1328" s="42" t="str">
        <f>IFERROR(AVERAGE(Data!C1330), "  ")</f>
        <v xml:space="preserve">  </v>
      </c>
      <c r="D1328" s="42" t="str">
        <f>IFERROR(AVERAGE(Data!D1330), "  ")</f>
        <v xml:space="preserve">  </v>
      </c>
      <c r="E1328" s="42" t="str">
        <f>IFERROR(AVERAGE(Data!E1330), "  ")</f>
        <v xml:space="preserve">  </v>
      </c>
      <c r="F1328" s="42" t="str">
        <f>IFERROR(AVERAGE(Data!F1330), "  ")</f>
        <v xml:space="preserve">  </v>
      </c>
      <c r="G1328" s="42" t="str">
        <f>IFERROR(AVERAGE(Data!G1330), "  ")</f>
        <v xml:space="preserve">  </v>
      </c>
      <c r="H1328" s="44" t="str">
        <f>IFERROR(AVERAGE(Data!H1330), "  ")</f>
        <v xml:space="preserve">  </v>
      </c>
      <c r="I1328" s="44" t="str">
        <f>IFERROR(AVERAGE(Data!I1330), "  ")</f>
        <v xml:space="preserve">  </v>
      </c>
      <c r="J1328" s="42" t="str">
        <f>IFERROR(AVERAGE(Data!J1330), "  ")</f>
        <v xml:space="preserve">  </v>
      </c>
      <c r="K1328" s="44" t="str">
        <f>IFERROR(AVERAGE(Data!K1330), "  ")</f>
        <v xml:space="preserve">  </v>
      </c>
      <c r="L1328" s="45" t="str">
        <f>IFERROR(AVERAGE(Data!L1330), "  ")</f>
        <v xml:space="preserve">  </v>
      </c>
    </row>
    <row r="1329" spans="1:12" x14ac:dyDescent="0.2">
      <c r="A1329" s="43"/>
      <c r="B1329" s="42" t="str">
        <f>IFERROR(AVERAGE(Data!B1331), "  ")</f>
        <v xml:space="preserve">  </v>
      </c>
      <c r="C1329" s="42" t="str">
        <f>IFERROR(AVERAGE(Data!C1331), "  ")</f>
        <v xml:space="preserve">  </v>
      </c>
      <c r="D1329" s="42" t="str">
        <f>IFERROR(AVERAGE(Data!D1331), "  ")</f>
        <v xml:space="preserve">  </v>
      </c>
      <c r="E1329" s="42" t="str">
        <f>IFERROR(AVERAGE(Data!E1331), "  ")</f>
        <v xml:space="preserve">  </v>
      </c>
      <c r="F1329" s="42" t="str">
        <f>IFERROR(AVERAGE(Data!F1331), "  ")</f>
        <v xml:space="preserve">  </v>
      </c>
      <c r="G1329" s="42" t="str">
        <f>IFERROR(AVERAGE(Data!G1331), "  ")</f>
        <v xml:space="preserve">  </v>
      </c>
      <c r="H1329" s="44" t="str">
        <f>IFERROR(AVERAGE(Data!H1331), "  ")</f>
        <v xml:space="preserve">  </v>
      </c>
      <c r="I1329" s="44" t="str">
        <f>IFERROR(AVERAGE(Data!I1331), "  ")</f>
        <v xml:space="preserve">  </v>
      </c>
      <c r="J1329" s="42" t="str">
        <f>IFERROR(AVERAGE(Data!J1331), "  ")</f>
        <v xml:space="preserve">  </v>
      </c>
      <c r="K1329" s="44" t="str">
        <f>IFERROR(AVERAGE(Data!K1331), "  ")</f>
        <v xml:space="preserve">  </v>
      </c>
      <c r="L1329" s="45" t="str">
        <f>IFERROR(AVERAGE(Data!L1331), "  ")</f>
        <v xml:space="preserve">  </v>
      </c>
    </row>
    <row r="1330" spans="1:12" x14ac:dyDescent="0.2">
      <c r="A1330" s="43"/>
      <c r="B1330" s="42" t="str">
        <f>IFERROR(AVERAGE(Data!B1332), "  ")</f>
        <v xml:space="preserve">  </v>
      </c>
      <c r="C1330" s="42" t="str">
        <f>IFERROR(AVERAGE(Data!C1332), "  ")</f>
        <v xml:space="preserve">  </v>
      </c>
      <c r="D1330" s="42" t="str">
        <f>IFERROR(AVERAGE(Data!D1332), "  ")</f>
        <v xml:space="preserve">  </v>
      </c>
      <c r="E1330" s="42" t="str">
        <f>IFERROR(AVERAGE(Data!E1332), "  ")</f>
        <v xml:space="preserve">  </v>
      </c>
      <c r="F1330" s="42" t="str">
        <f>IFERROR(AVERAGE(Data!F1332), "  ")</f>
        <v xml:space="preserve">  </v>
      </c>
      <c r="G1330" s="42" t="str">
        <f>IFERROR(AVERAGE(Data!G1332), "  ")</f>
        <v xml:space="preserve">  </v>
      </c>
      <c r="H1330" s="44" t="str">
        <f>IFERROR(AVERAGE(Data!H1332), "  ")</f>
        <v xml:space="preserve">  </v>
      </c>
      <c r="I1330" s="44" t="str">
        <f>IFERROR(AVERAGE(Data!I1332), "  ")</f>
        <v xml:space="preserve">  </v>
      </c>
      <c r="J1330" s="42" t="str">
        <f>IFERROR(AVERAGE(Data!J1332), "  ")</f>
        <v xml:space="preserve">  </v>
      </c>
      <c r="K1330" s="44" t="str">
        <f>IFERROR(AVERAGE(Data!K1332), "  ")</f>
        <v xml:space="preserve">  </v>
      </c>
      <c r="L1330" s="45" t="str">
        <f>IFERROR(AVERAGE(Data!L1332), "  ")</f>
        <v xml:space="preserve">  </v>
      </c>
    </row>
    <row r="1331" spans="1:12" x14ac:dyDescent="0.2">
      <c r="A1331" s="43"/>
      <c r="B1331" s="42" t="str">
        <f>IFERROR(AVERAGE(Data!B1333), "  ")</f>
        <v xml:space="preserve">  </v>
      </c>
      <c r="C1331" s="42" t="str">
        <f>IFERROR(AVERAGE(Data!C1333), "  ")</f>
        <v xml:space="preserve">  </v>
      </c>
      <c r="D1331" s="42" t="str">
        <f>IFERROR(AVERAGE(Data!D1333), "  ")</f>
        <v xml:space="preserve">  </v>
      </c>
      <c r="E1331" s="42" t="str">
        <f>IFERROR(AVERAGE(Data!E1333), "  ")</f>
        <v xml:space="preserve">  </v>
      </c>
      <c r="F1331" s="42" t="str">
        <f>IFERROR(AVERAGE(Data!F1333), "  ")</f>
        <v xml:space="preserve">  </v>
      </c>
      <c r="G1331" s="42" t="str">
        <f>IFERROR(AVERAGE(Data!G1333), "  ")</f>
        <v xml:space="preserve">  </v>
      </c>
      <c r="H1331" s="44" t="str">
        <f>IFERROR(AVERAGE(Data!H1333), "  ")</f>
        <v xml:space="preserve">  </v>
      </c>
      <c r="I1331" s="44" t="str">
        <f>IFERROR(AVERAGE(Data!I1333), "  ")</f>
        <v xml:space="preserve">  </v>
      </c>
      <c r="J1331" s="42" t="str">
        <f>IFERROR(AVERAGE(Data!J1333), "  ")</f>
        <v xml:space="preserve">  </v>
      </c>
      <c r="K1331" s="44" t="str">
        <f>IFERROR(AVERAGE(Data!K1333), "  ")</f>
        <v xml:space="preserve">  </v>
      </c>
      <c r="L1331" s="45" t="str">
        <f>IFERROR(AVERAGE(Data!L1333), "  ")</f>
        <v xml:space="preserve">  </v>
      </c>
    </row>
    <row r="1332" spans="1:12" x14ac:dyDescent="0.2">
      <c r="A1332" s="43"/>
      <c r="B1332" s="42" t="str">
        <f>IFERROR(AVERAGE(Data!B1334), "  ")</f>
        <v xml:space="preserve">  </v>
      </c>
      <c r="C1332" s="42" t="str">
        <f>IFERROR(AVERAGE(Data!C1334), "  ")</f>
        <v xml:space="preserve">  </v>
      </c>
      <c r="D1332" s="42" t="str">
        <f>IFERROR(AVERAGE(Data!D1334), "  ")</f>
        <v xml:space="preserve">  </v>
      </c>
      <c r="E1332" s="42" t="str">
        <f>IFERROR(AVERAGE(Data!E1334), "  ")</f>
        <v xml:space="preserve">  </v>
      </c>
      <c r="F1332" s="42" t="str">
        <f>IFERROR(AVERAGE(Data!F1334), "  ")</f>
        <v xml:space="preserve">  </v>
      </c>
      <c r="G1332" s="42" t="str">
        <f>IFERROR(AVERAGE(Data!G1334), "  ")</f>
        <v xml:space="preserve">  </v>
      </c>
      <c r="H1332" s="44" t="str">
        <f>IFERROR(AVERAGE(Data!H1334), "  ")</f>
        <v xml:space="preserve">  </v>
      </c>
      <c r="I1332" s="44" t="str">
        <f>IFERROR(AVERAGE(Data!I1334), "  ")</f>
        <v xml:space="preserve">  </v>
      </c>
      <c r="J1332" s="42" t="str">
        <f>IFERROR(AVERAGE(Data!J1334), "  ")</f>
        <v xml:space="preserve">  </v>
      </c>
      <c r="K1332" s="44" t="str">
        <f>IFERROR(AVERAGE(Data!K1334), "  ")</f>
        <v xml:space="preserve">  </v>
      </c>
      <c r="L1332" s="45" t="str">
        <f>IFERROR(AVERAGE(Data!L1334), "  ")</f>
        <v xml:space="preserve">  </v>
      </c>
    </row>
    <row r="1333" spans="1:12" x14ac:dyDescent="0.2">
      <c r="A1333" s="43"/>
      <c r="B1333" s="42" t="str">
        <f>IFERROR(AVERAGE(Data!B1335), "  ")</f>
        <v xml:space="preserve">  </v>
      </c>
      <c r="C1333" s="42" t="str">
        <f>IFERROR(AVERAGE(Data!C1335), "  ")</f>
        <v xml:space="preserve">  </v>
      </c>
      <c r="D1333" s="42" t="str">
        <f>IFERROR(AVERAGE(Data!D1335), "  ")</f>
        <v xml:space="preserve">  </v>
      </c>
      <c r="E1333" s="42" t="str">
        <f>IFERROR(AVERAGE(Data!E1335), "  ")</f>
        <v xml:space="preserve">  </v>
      </c>
      <c r="F1333" s="42" t="str">
        <f>IFERROR(AVERAGE(Data!F1335), "  ")</f>
        <v xml:space="preserve">  </v>
      </c>
      <c r="G1333" s="42" t="str">
        <f>IFERROR(AVERAGE(Data!G1335), "  ")</f>
        <v xml:space="preserve">  </v>
      </c>
      <c r="H1333" s="44" t="str">
        <f>IFERROR(AVERAGE(Data!H1335), "  ")</f>
        <v xml:space="preserve">  </v>
      </c>
      <c r="I1333" s="44" t="str">
        <f>IFERROR(AVERAGE(Data!I1335), "  ")</f>
        <v xml:space="preserve">  </v>
      </c>
      <c r="J1333" s="42" t="str">
        <f>IFERROR(AVERAGE(Data!J1335), "  ")</f>
        <v xml:space="preserve">  </v>
      </c>
      <c r="K1333" s="44" t="str">
        <f>IFERROR(AVERAGE(Data!K1335), "  ")</f>
        <v xml:space="preserve">  </v>
      </c>
      <c r="L1333" s="45" t="str">
        <f>IFERROR(AVERAGE(Data!L1335), "  ")</f>
        <v xml:space="preserve">  </v>
      </c>
    </row>
    <row r="1334" spans="1:12" x14ac:dyDescent="0.2">
      <c r="A1334" s="43"/>
      <c r="B1334" s="42" t="str">
        <f>IFERROR(AVERAGE(Data!B1336), "  ")</f>
        <v xml:space="preserve">  </v>
      </c>
      <c r="C1334" s="42" t="str">
        <f>IFERROR(AVERAGE(Data!C1336), "  ")</f>
        <v xml:space="preserve">  </v>
      </c>
      <c r="D1334" s="42" t="str">
        <f>IFERROR(AVERAGE(Data!D1336), "  ")</f>
        <v xml:space="preserve">  </v>
      </c>
      <c r="E1334" s="42" t="str">
        <f>IFERROR(AVERAGE(Data!E1336), "  ")</f>
        <v xml:space="preserve">  </v>
      </c>
      <c r="F1334" s="42" t="str">
        <f>IFERROR(AVERAGE(Data!F1336), "  ")</f>
        <v xml:space="preserve">  </v>
      </c>
      <c r="G1334" s="42" t="str">
        <f>IFERROR(AVERAGE(Data!G1336), "  ")</f>
        <v xml:space="preserve">  </v>
      </c>
      <c r="H1334" s="44" t="str">
        <f>IFERROR(AVERAGE(Data!H1336), "  ")</f>
        <v xml:space="preserve">  </v>
      </c>
      <c r="I1334" s="44" t="str">
        <f>IFERROR(AVERAGE(Data!I1336), "  ")</f>
        <v xml:space="preserve">  </v>
      </c>
      <c r="J1334" s="42" t="str">
        <f>IFERROR(AVERAGE(Data!J1336), "  ")</f>
        <v xml:space="preserve">  </v>
      </c>
      <c r="K1334" s="44" t="str">
        <f>IFERROR(AVERAGE(Data!K1336), "  ")</f>
        <v xml:space="preserve">  </v>
      </c>
      <c r="L1334" s="45" t="str">
        <f>IFERROR(AVERAGE(Data!L1336), "  ")</f>
        <v xml:space="preserve">  </v>
      </c>
    </row>
    <row r="1335" spans="1:12" x14ac:dyDescent="0.2">
      <c r="A1335" s="43"/>
      <c r="B1335" s="42" t="str">
        <f>IFERROR(AVERAGE(Data!B1337), "  ")</f>
        <v xml:space="preserve">  </v>
      </c>
      <c r="C1335" s="42" t="str">
        <f>IFERROR(AVERAGE(Data!C1337), "  ")</f>
        <v xml:space="preserve">  </v>
      </c>
      <c r="D1335" s="42" t="str">
        <f>IFERROR(AVERAGE(Data!D1337), "  ")</f>
        <v xml:space="preserve">  </v>
      </c>
      <c r="E1335" s="42" t="str">
        <f>IFERROR(AVERAGE(Data!E1337), "  ")</f>
        <v xml:space="preserve">  </v>
      </c>
      <c r="F1335" s="42" t="str">
        <f>IFERROR(AVERAGE(Data!F1337), "  ")</f>
        <v xml:space="preserve">  </v>
      </c>
      <c r="G1335" s="42" t="str">
        <f>IFERROR(AVERAGE(Data!G1337), "  ")</f>
        <v xml:space="preserve">  </v>
      </c>
      <c r="H1335" s="44" t="str">
        <f>IFERROR(AVERAGE(Data!H1337), "  ")</f>
        <v xml:space="preserve">  </v>
      </c>
      <c r="I1335" s="44" t="str">
        <f>IFERROR(AVERAGE(Data!I1337), "  ")</f>
        <v xml:space="preserve">  </v>
      </c>
      <c r="J1335" s="42" t="str">
        <f>IFERROR(AVERAGE(Data!J1337), "  ")</f>
        <v xml:space="preserve">  </v>
      </c>
      <c r="K1335" s="44" t="str">
        <f>IFERROR(AVERAGE(Data!K1337), "  ")</f>
        <v xml:space="preserve">  </v>
      </c>
      <c r="L1335" s="45" t="str">
        <f>IFERROR(AVERAGE(Data!L1337), "  ")</f>
        <v xml:space="preserve">  </v>
      </c>
    </row>
    <row r="1336" spans="1:12" x14ac:dyDescent="0.2">
      <c r="A1336" s="43"/>
      <c r="B1336" s="42" t="str">
        <f>IFERROR(AVERAGE(Data!B1338), "  ")</f>
        <v xml:space="preserve">  </v>
      </c>
      <c r="C1336" s="42" t="str">
        <f>IFERROR(AVERAGE(Data!C1338), "  ")</f>
        <v xml:space="preserve">  </v>
      </c>
      <c r="D1336" s="42" t="str">
        <f>IFERROR(AVERAGE(Data!D1338), "  ")</f>
        <v xml:space="preserve">  </v>
      </c>
      <c r="E1336" s="42" t="str">
        <f>IFERROR(AVERAGE(Data!E1338), "  ")</f>
        <v xml:space="preserve">  </v>
      </c>
      <c r="F1336" s="42" t="str">
        <f>IFERROR(AVERAGE(Data!F1338), "  ")</f>
        <v xml:space="preserve">  </v>
      </c>
      <c r="G1336" s="42" t="str">
        <f>IFERROR(AVERAGE(Data!G1338), "  ")</f>
        <v xml:space="preserve">  </v>
      </c>
      <c r="H1336" s="44" t="str">
        <f>IFERROR(AVERAGE(Data!H1338), "  ")</f>
        <v xml:space="preserve">  </v>
      </c>
      <c r="I1336" s="44" t="str">
        <f>IFERROR(AVERAGE(Data!I1338), "  ")</f>
        <v xml:space="preserve">  </v>
      </c>
      <c r="J1336" s="42" t="str">
        <f>IFERROR(AVERAGE(Data!J1338), "  ")</f>
        <v xml:space="preserve">  </v>
      </c>
      <c r="K1336" s="44" t="str">
        <f>IFERROR(AVERAGE(Data!K1338), "  ")</f>
        <v xml:space="preserve">  </v>
      </c>
      <c r="L1336" s="45" t="str">
        <f>IFERROR(AVERAGE(Data!L1338), "  ")</f>
        <v xml:space="preserve">  </v>
      </c>
    </row>
    <row r="1337" spans="1:12" x14ac:dyDescent="0.2">
      <c r="A1337" s="43"/>
      <c r="B1337" s="42" t="str">
        <f>IFERROR(AVERAGE(Data!B1339), "  ")</f>
        <v xml:space="preserve">  </v>
      </c>
      <c r="C1337" s="42" t="str">
        <f>IFERROR(AVERAGE(Data!C1339), "  ")</f>
        <v xml:space="preserve">  </v>
      </c>
      <c r="D1337" s="42" t="str">
        <f>IFERROR(AVERAGE(Data!D1339), "  ")</f>
        <v xml:space="preserve">  </v>
      </c>
      <c r="E1337" s="42" t="str">
        <f>IFERROR(AVERAGE(Data!E1339), "  ")</f>
        <v xml:space="preserve">  </v>
      </c>
      <c r="F1337" s="42" t="str">
        <f>IFERROR(AVERAGE(Data!F1339), "  ")</f>
        <v xml:space="preserve">  </v>
      </c>
      <c r="G1337" s="42" t="str">
        <f>IFERROR(AVERAGE(Data!G1339), "  ")</f>
        <v xml:space="preserve">  </v>
      </c>
      <c r="H1337" s="44" t="str">
        <f>IFERROR(AVERAGE(Data!H1339), "  ")</f>
        <v xml:space="preserve">  </v>
      </c>
      <c r="I1337" s="44" t="str">
        <f>IFERROR(AVERAGE(Data!I1339), "  ")</f>
        <v xml:space="preserve">  </v>
      </c>
      <c r="J1337" s="42" t="str">
        <f>IFERROR(AVERAGE(Data!J1339), "  ")</f>
        <v xml:space="preserve">  </v>
      </c>
      <c r="K1337" s="44" t="str">
        <f>IFERROR(AVERAGE(Data!K1339), "  ")</f>
        <v xml:space="preserve">  </v>
      </c>
      <c r="L1337" s="45" t="str">
        <f>IFERROR(AVERAGE(Data!L1339), "  ")</f>
        <v xml:space="preserve">  </v>
      </c>
    </row>
    <row r="1338" spans="1:12" x14ac:dyDescent="0.2">
      <c r="A1338" s="43"/>
      <c r="B1338" s="42" t="str">
        <f>IFERROR(AVERAGE(Data!B1340), "  ")</f>
        <v xml:space="preserve">  </v>
      </c>
      <c r="C1338" s="42" t="str">
        <f>IFERROR(AVERAGE(Data!C1340), "  ")</f>
        <v xml:space="preserve">  </v>
      </c>
      <c r="D1338" s="42" t="str">
        <f>IFERROR(AVERAGE(Data!D1340), "  ")</f>
        <v xml:space="preserve">  </v>
      </c>
      <c r="E1338" s="42" t="str">
        <f>IFERROR(AVERAGE(Data!E1340), "  ")</f>
        <v xml:space="preserve">  </v>
      </c>
      <c r="F1338" s="42" t="str">
        <f>IFERROR(AVERAGE(Data!F1340), "  ")</f>
        <v xml:space="preserve">  </v>
      </c>
      <c r="G1338" s="42" t="str">
        <f>IFERROR(AVERAGE(Data!G1340), "  ")</f>
        <v xml:space="preserve">  </v>
      </c>
      <c r="H1338" s="44" t="str">
        <f>IFERROR(AVERAGE(Data!H1340), "  ")</f>
        <v xml:space="preserve">  </v>
      </c>
      <c r="I1338" s="44" t="str">
        <f>IFERROR(AVERAGE(Data!I1340), "  ")</f>
        <v xml:space="preserve">  </v>
      </c>
      <c r="J1338" s="42" t="str">
        <f>IFERROR(AVERAGE(Data!J1340), "  ")</f>
        <v xml:space="preserve">  </v>
      </c>
      <c r="K1338" s="44" t="str">
        <f>IFERROR(AVERAGE(Data!K1340), "  ")</f>
        <v xml:space="preserve">  </v>
      </c>
      <c r="L1338" s="45" t="str">
        <f>IFERROR(AVERAGE(Data!L1340), "  ")</f>
        <v xml:space="preserve">  </v>
      </c>
    </row>
    <row r="1339" spans="1:12" x14ac:dyDescent="0.2">
      <c r="A1339" s="43"/>
      <c r="B1339" s="42" t="str">
        <f>IFERROR(AVERAGE(Data!B1341), "  ")</f>
        <v xml:space="preserve">  </v>
      </c>
      <c r="C1339" s="42" t="str">
        <f>IFERROR(AVERAGE(Data!C1341), "  ")</f>
        <v xml:space="preserve">  </v>
      </c>
      <c r="D1339" s="42" t="str">
        <f>IFERROR(AVERAGE(Data!D1341), "  ")</f>
        <v xml:space="preserve">  </v>
      </c>
      <c r="E1339" s="42" t="str">
        <f>IFERROR(AVERAGE(Data!E1341), "  ")</f>
        <v xml:space="preserve">  </v>
      </c>
      <c r="F1339" s="42" t="str">
        <f>IFERROR(AVERAGE(Data!F1341), "  ")</f>
        <v xml:space="preserve">  </v>
      </c>
      <c r="G1339" s="42" t="str">
        <f>IFERROR(AVERAGE(Data!G1341), "  ")</f>
        <v xml:space="preserve">  </v>
      </c>
      <c r="H1339" s="44" t="str">
        <f>IFERROR(AVERAGE(Data!H1341), "  ")</f>
        <v xml:space="preserve">  </v>
      </c>
      <c r="I1339" s="44" t="str">
        <f>IFERROR(AVERAGE(Data!I1341), "  ")</f>
        <v xml:space="preserve">  </v>
      </c>
      <c r="J1339" s="42" t="str">
        <f>IFERROR(AVERAGE(Data!J1341), "  ")</f>
        <v xml:space="preserve">  </v>
      </c>
      <c r="K1339" s="44" t="str">
        <f>IFERROR(AVERAGE(Data!K1341), "  ")</f>
        <v xml:space="preserve">  </v>
      </c>
      <c r="L1339" s="45" t="str">
        <f>IFERROR(AVERAGE(Data!L1341), "  ")</f>
        <v xml:space="preserve">  </v>
      </c>
    </row>
    <row r="1340" spans="1:12" x14ac:dyDescent="0.2">
      <c r="A1340" s="43"/>
      <c r="B1340" s="42" t="str">
        <f>IFERROR(AVERAGE(Data!B1342), "  ")</f>
        <v xml:space="preserve">  </v>
      </c>
      <c r="C1340" s="42" t="str">
        <f>IFERROR(AVERAGE(Data!C1342), "  ")</f>
        <v xml:space="preserve">  </v>
      </c>
      <c r="D1340" s="42" t="str">
        <f>IFERROR(AVERAGE(Data!D1342), "  ")</f>
        <v xml:space="preserve">  </v>
      </c>
      <c r="E1340" s="42" t="str">
        <f>IFERROR(AVERAGE(Data!E1342), "  ")</f>
        <v xml:space="preserve">  </v>
      </c>
      <c r="F1340" s="42" t="str">
        <f>IFERROR(AVERAGE(Data!F1342), "  ")</f>
        <v xml:space="preserve">  </v>
      </c>
      <c r="G1340" s="42" t="str">
        <f>IFERROR(AVERAGE(Data!G1342), "  ")</f>
        <v xml:space="preserve">  </v>
      </c>
      <c r="H1340" s="44" t="str">
        <f>IFERROR(AVERAGE(Data!H1342), "  ")</f>
        <v xml:space="preserve">  </v>
      </c>
      <c r="I1340" s="44" t="str">
        <f>IFERROR(AVERAGE(Data!I1342), "  ")</f>
        <v xml:space="preserve">  </v>
      </c>
      <c r="J1340" s="42" t="str">
        <f>IFERROR(AVERAGE(Data!J1342), "  ")</f>
        <v xml:space="preserve">  </v>
      </c>
      <c r="K1340" s="44" t="str">
        <f>IFERROR(AVERAGE(Data!K1342), "  ")</f>
        <v xml:space="preserve">  </v>
      </c>
      <c r="L1340" s="45" t="str">
        <f>IFERROR(AVERAGE(Data!L1342), "  ")</f>
        <v xml:space="preserve">  </v>
      </c>
    </row>
    <row r="1341" spans="1:12" x14ac:dyDescent="0.2">
      <c r="A1341" s="43"/>
      <c r="B1341" s="42" t="str">
        <f>IFERROR(AVERAGE(Data!B1343), "  ")</f>
        <v xml:space="preserve">  </v>
      </c>
      <c r="C1341" s="42" t="str">
        <f>IFERROR(AVERAGE(Data!C1343), "  ")</f>
        <v xml:space="preserve">  </v>
      </c>
      <c r="D1341" s="42" t="str">
        <f>IFERROR(AVERAGE(Data!D1343), "  ")</f>
        <v xml:space="preserve">  </v>
      </c>
      <c r="E1341" s="42" t="str">
        <f>IFERROR(AVERAGE(Data!E1343), "  ")</f>
        <v xml:space="preserve">  </v>
      </c>
      <c r="F1341" s="42" t="str">
        <f>IFERROR(AVERAGE(Data!F1343), "  ")</f>
        <v xml:space="preserve">  </v>
      </c>
      <c r="G1341" s="42" t="str">
        <f>IFERROR(AVERAGE(Data!G1343), "  ")</f>
        <v xml:space="preserve">  </v>
      </c>
      <c r="H1341" s="44" t="str">
        <f>IFERROR(AVERAGE(Data!H1343), "  ")</f>
        <v xml:space="preserve">  </v>
      </c>
      <c r="I1341" s="44" t="str">
        <f>IFERROR(AVERAGE(Data!I1343), "  ")</f>
        <v xml:space="preserve">  </v>
      </c>
      <c r="J1341" s="42" t="str">
        <f>IFERROR(AVERAGE(Data!J1343), "  ")</f>
        <v xml:space="preserve">  </v>
      </c>
      <c r="K1341" s="44" t="str">
        <f>IFERROR(AVERAGE(Data!K1343), "  ")</f>
        <v xml:space="preserve">  </v>
      </c>
      <c r="L1341" s="45" t="str">
        <f>IFERROR(AVERAGE(Data!L1343), "  ")</f>
        <v xml:space="preserve">  </v>
      </c>
    </row>
    <row r="1342" spans="1:12" x14ac:dyDescent="0.2">
      <c r="A1342" s="43"/>
      <c r="B1342" s="42" t="str">
        <f>IFERROR(AVERAGE(Data!B1344), "  ")</f>
        <v xml:space="preserve">  </v>
      </c>
      <c r="C1342" s="42" t="str">
        <f>IFERROR(AVERAGE(Data!C1344), "  ")</f>
        <v xml:space="preserve">  </v>
      </c>
      <c r="D1342" s="42" t="str">
        <f>IFERROR(AVERAGE(Data!D1344), "  ")</f>
        <v xml:space="preserve">  </v>
      </c>
      <c r="E1342" s="42" t="str">
        <f>IFERROR(AVERAGE(Data!E1344), "  ")</f>
        <v xml:space="preserve">  </v>
      </c>
      <c r="F1342" s="42" t="str">
        <f>IFERROR(AVERAGE(Data!F1344), "  ")</f>
        <v xml:space="preserve">  </v>
      </c>
      <c r="G1342" s="42" t="str">
        <f>IFERROR(AVERAGE(Data!G1344), "  ")</f>
        <v xml:space="preserve">  </v>
      </c>
      <c r="H1342" s="44" t="str">
        <f>IFERROR(AVERAGE(Data!H1344), "  ")</f>
        <v xml:space="preserve">  </v>
      </c>
      <c r="I1342" s="44" t="str">
        <f>IFERROR(AVERAGE(Data!I1344), "  ")</f>
        <v xml:space="preserve">  </v>
      </c>
      <c r="J1342" s="42" t="str">
        <f>IFERROR(AVERAGE(Data!J1344), "  ")</f>
        <v xml:space="preserve">  </v>
      </c>
      <c r="K1342" s="44" t="str">
        <f>IFERROR(AVERAGE(Data!K1344), "  ")</f>
        <v xml:space="preserve">  </v>
      </c>
      <c r="L1342" s="45" t="str">
        <f>IFERROR(AVERAGE(Data!L1344), "  ")</f>
        <v xml:space="preserve">  </v>
      </c>
    </row>
    <row r="1343" spans="1:12" x14ac:dyDescent="0.2">
      <c r="A1343" s="43"/>
      <c r="B1343" s="42" t="str">
        <f>IFERROR(AVERAGE(Data!B1345), "  ")</f>
        <v xml:space="preserve">  </v>
      </c>
      <c r="C1343" s="42" t="str">
        <f>IFERROR(AVERAGE(Data!C1345), "  ")</f>
        <v xml:space="preserve">  </v>
      </c>
      <c r="D1343" s="42" t="str">
        <f>IFERROR(AVERAGE(Data!D1345), "  ")</f>
        <v xml:space="preserve">  </v>
      </c>
      <c r="E1343" s="42" t="str">
        <f>IFERROR(AVERAGE(Data!E1345), "  ")</f>
        <v xml:space="preserve">  </v>
      </c>
      <c r="F1343" s="42" t="str">
        <f>IFERROR(AVERAGE(Data!F1345), "  ")</f>
        <v xml:space="preserve">  </v>
      </c>
      <c r="G1343" s="42" t="str">
        <f>IFERROR(AVERAGE(Data!G1345), "  ")</f>
        <v xml:space="preserve">  </v>
      </c>
      <c r="H1343" s="44" t="str">
        <f>IFERROR(AVERAGE(Data!H1345), "  ")</f>
        <v xml:space="preserve">  </v>
      </c>
      <c r="I1343" s="44" t="str">
        <f>IFERROR(AVERAGE(Data!I1345), "  ")</f>
        <v xml:space="preserve">  </v>
      </c>
      <c r="J1343" s="42" t="str">
        <f>IFERROR(AVERAGE(Data!J1345), "  ")</f>
        <v xml:space="preserve">  </v>
      </c>
      <c r="K1343" s="44" t="str">
        <f>IFERROR(AVERAGE(Data!K1345), "  ")</f>
        <v xml:space="preserve">  </v>
      </c>
      <c r="L1343" s="45" t="str">
        <f>IFERROR(AVERAGE(Data!L1345), "  ")</f>
        <v xml:space="preserve">  </v>
      </c>
    </row>
    <row r="1344" spans="1:12" x14ac:dyDescent="0.2">
      <c r="A1344" s="43"/>
      <c r="B1344" s="42" t="str">
        <f>IFERROR(AVERAGE(Data!B1346), "  ")</f>
        <v xml:space="preserve">  </v>
      </c>
      <c r="C1344" s="42" t="str">
        <f>IFERROR(AVERAGE(Data!C1346), "  ")</f>
        <v xml:space="preserve">  </v>
      </c>
      <c r="D1344" s="42" t="str">
        <f>IFERROR(AVERAGE(Data!D1346), "  ")</f>
        <v xml:space="preserve">  </v>
      </c>
      <c r="E1344" s="42" t="str">
        <f>IFERROR(AVERAGE(Data!E1346), "  ")</f>
        <v xml:space="preserve">  </v>
      </c>
      <c r="F1344" s="42" t="str">
        <f>IFERROR(AVERAGE(Data!F1346), "  ")</f>
        <v xml:space="preserve">  </v>
      </c>
      <c r="G1344" s="42" t="str">
        <f>IFERROR(AVERAGE(Data!G1346), "  ")</f>
        <v xml:space="preserve">  </v>
      </c>
      <c r="H1344" s="44" t="str">
        <f>IFERROR(AVERAGE(Data!H1346), "  ")</f>
        <v xml:space="preserve">  </v>
      </c>
      <c r="I1344" s="44" t="str">
        <f>IFERROR(AVERAGE(Data!I1346), "  ")</f>
        <v xml:space="preserve">  </v>
      </c>
      <c r="J1344" s="42" t="str">
        <f>IFERROR(AVERAGE(Data!J1346), "  ")</f>
        <v xml:space="preserve">  </v>
      </c>
      <c r="K1344" s="44" t="str">
        <f>IFERROR(AVERAGE(Data!K1346), "  ")</f>
        <v xml:space="preserve">  </v>
      </c>
      <c r="L1344" s="45" t="str">
        <f>IFERROR(AVERAGE(Data!L1346), "  ")</f>
        <v xml:space="preserve">  </v>
      </c>
    </row>
    <row r="1345" spans="1:12" x14ac:dyDescent="0.2">
      <c r="A1345" s="43"/>
      <c r="B1345" s="42" t="str">
        <f>IFERROR(AVERAGE(Data!B1347), "  ")</f>
        <v xml:space="preserve">  </v>
      </c>
      <c r="C1345" s="42" t="str">
        <f>IFERROR(AVERAGE(Data!C1347), "  ")</f>
        <v xml:space="preserve">  </v>
      </c>
      <c r="D1345" s="42" t="str">
        <f>IFERROR(AVERAGE(Data!D1347), "  ")</f>
        <v xml:space="preserve">  </v>
      </c>
      <c r="E1345" s="42" t="str">
        <f>IFERROR(AVERAGE(Data!E1347), "  ")</f>
        <v xml:space="preserve">  </v>
      </c>
      <c r="F1345" s="42" t="str">
        <f>IFERROR(AVERAGE(Data!F1347), "  ")</f>
        <v xml:space="preserve">  </v>
      </c>
      <c r="G1345" s="42" t="str">
        <f>IFERROR(AVERAGE(Data!G1347), "  ")</f>
        <v xml:space="preserve">  </v>
      </c>
      <c r="H1345" s="44" t="str">
        <f>IFERROR(AVERAGE(Data!H1347), "  ")</f>
        <v xml:space="preserve">  </v>
      </c>
      <c r="I1345" s="44" t="str">
        <f>IFERROR(AVERAGE(Data!I1347), "  ")</f>
        <v xml:space="preserve">  </v>
      </c>
      <c r="J1345" s="42" t="str">
        <f>IFERROR(AVERAGE(Data!J1347), "  ")</f>
        <v xml:space="preserve">  </v>
      </c>
      <c r="K1345" s="44" t="str">
        <f>IFERROR(AVERAGE(Data!K1347), "  ")</f>
        <v xml:space="preserve">  </v>
      </c>
      <c r="L1345" s="45" t="str">
        <f>IFERROR(AVERAGE(Data!L1347), "  ")</f>
        <v xml:space="preserve">  </v>
      </c>
    </row>
    <row r="1346" spans="1:12" x14ac:dyDescent="0.2">
      <c r="A1346" s="43"/>
      <c r="B1346" s="42" t="str">
        <f>IFERROR(AVERAGE(Data!B1348), "  ")</f>
        <v xml:space="preserve">  </v>
      </c>
      <c r="C1346" s="42" t="str">
        <f>IFERROR(AVERAGE(Data!C1348), "  ")</f>
        <v xml:space="preserve">  </v>
      </c>
      <c r="D1346" s="42" t="str">
        <f>IFERROR(AVERAGE(Data!D1348), "  ")</f>
        <v xml:space="preserve">  </v>
      </c>
      <c r="E1346" s="42" t="str">
        <f>IFERROR(AVERAGE(Data!E1348), "  ")</f>
        <v xml:space="preserve">  </v>
      </c>
      <c r="F1346" s="42" t="str">
        <f>IFERROR(AVERAGE(Data!F1348), "  ")</f>
        <v xml:space="preserve">  </v>
      </c>
      <c r="G1346" s="42" t="str">
        <f>IFERROR(AVERAGE(Data!G1348), "  ")</f>
        <v xml:space="preserve">  </v>
      </c>
      <c r="H1346" s="44" t="str">
        <f>IFERROR(AVERAGE(Data!H1348), "  ")</f>
        <v xml:space="preserve">  </v>
      </c>
      <c r="I1346" s="44" t="str">
        <f>IFERROR(AVERAGE(Data!I1348), "  ")</f>
        <v xml:space="preserve">  </v>
      </c>
      <c r="J1346" s="42" t="str">
        <f>IFERROR(AVERAGE(Data!J1348), "  ")</f>
        <v xml:space="preserve">  </v>
      </c>
      <c r="K1346" s="44" t="str">
        <f>IFERROR(AVERAGE(Data!K1348), "  ")</f>
        <v xml:space="preserve">  </v>
      </c>
      <c r="L1346" s="45" t="str">
        <f>IFERROR(AVERAGE(Data!L1348), "  ")</f>
        <v xml:space="preserve">  </v>
      </c>
    </row>
    <row r="1347" spans="1:12" x14ac:dyDescent="0.2">
      <c r="A1347" s="43"/>
      <c r="B1347" s="42" t="str">
        <f>IFERROR(AVERAGE(Data!B1349), "  ")</f>
        <v xml:space="preserve">  </v>
      </c>
      <c r="C1347" s="42" t="str">
        <f>IFERROR(AVERAGE(Data!C1349), "  ")</f>
        <v xml:space="preserve">  </v>
      </c>
      <c r="D1347" s="42" t="str">
        <f>IFERROR(AVERAGE(Data!D1349), "  ")</f>
        <v xml:space="preserve">  </v>
      </c>
      <c r="E1347" s="42" t="str">
        <f>IFERROR(AVERAGE(Data!E1349), "  ")</f>
        <v xml:space="preserve">  </v>
      </c>
      <c r="F1347" s="42" t="str">
        <f>IFERROR(AVERAGE(Data!F1349), "  ")</f>
        <v xml:space="preserve">  </v>
      </c>
      <c r="G1347" s="42" t="str">
        <f>IFERROR(AVERAGE(Data!G1349), "  ")</f>
        <v xml:space="preserve">  </v>
      </c>
      <c r="H1347" s="44" t="str">
        <f>IFERROR(AVERAGE(Data!H1349), "  ")</f>
        <v xml:space="preserve">  </v>
      </c>
      <c r="I1347" s="44" t="str">
        <f>IFERROR(AVERAGE(Data!I1349), "  ")</f>
        <v xml:space="preserve">  </v>
      </c>
      <c r="J1347" s="42" t="str">
        <f>IFERROR(AVERAGE(Data!J1349), "  ")</f>
        <v xml:space="preserve">  </v>
      </c>
      <c r="K1347" s="44" t="str">
        <f>IFERROR(AVERAGE(Data!K1349), "  ")</f>
        <v xml:space="preserve">  </v>
      </c>
      <c r="L1347" s="45" t="str">
        <f>IFERROR(AVERAGE(Data!L1349), "  ")</f>
        <v xml:space="preserve">  </v>
      </c>
    </row>
    <row r="1348" spans="1:12" x14ac:dyDescent="0.2">
      <c r="A1348" s="43"/>
      <c r="B1348" s="42" t="str">
        <f>IFERROR(AVERAGE(Data!B1350), "  ")</f>
        <v xml:space="preserve">  </v>
      </c>
      <c r="C1348" s="42" t="str">
        <f>IFERROR(AVERAGE(Data!C1350), "  ")</f>
        <v xml:space="preserve">  </v>
      </c>
      <c r="D1348" s="42" t="str">
        <f>IFERROR(AVERAGE(Data!D1350), "  ")</f>
        <v xml:space="preserve">  </v>
      </c>
      <c r="E1348" s="42" t="str">
        <f>IFERROR(AVERAGE(Data!E1350), "  ")</f>
        <v xml:space="preserve">  </v>
      </c>
      <c r="F1348" s="42" t="str">
        <f>IFERROR(AVERAGE(Data!F1350), "  ")</f>
        <v xml:space="preserve">  </v>
      </c>
      <c r="G1348" s="42" t="str">
        <f>IFERROR(AVERAGE(Data!G1350), "  ")</f>
        <v xml:space="preserve">  </v>
      </c>
      <c r="H1348" s="44" t="str">
        <f>IFERROR(AVERAGE(Data!H1350), "  ")</f>
        <v xml:space="preserve">  </v>
      </c>
      <c r="I1348" s="44" t="str">
        <f>IFERROR(AVERAGE(Data!I1350), "  ")</f>
        <v xml:space="preserve">  </v>
      </c>
      <c r="J1348" s="42" t="str">
        <f>IFERROR(AVERAGE(Data!J1350), "  ")</f>
        <v xml:space="preserve">  </v>
      </c>
      <c r="K1348" s="44" t="str">
        <f>IFERROR(AVERAGE(Data!K1350), "  ")</f>
        <v xml:space="preserve">  </v>
      </c>
      <c r="L1348" s="45" t="str">
        <f>IFERROR(AVERAGE(Data!L1350), "  ")</f>
        <v xml:space="preserve">  </v>
      </c>
    </row>
    <row r="1349" spans="1:12" x14ac:dyDescent="0.2">
      <c r="A1349" s="43"/>
      <c r="B1349" s="42" t="str">
        <f>IFERROR(AVERAGE(Data!B1351), "  ")</f>
        <v xml:space="preserve">  </v>
      </c>
      <c r="C1349" s="42" t="str">
        <f>IFERROR(AVERAGE(Data!C1351), "  ")</f>
        <v xml:space="preserve">  </v>
      </c>
      <c r="D1349" s="42" t="str">
        <f>IFERROR(AVERAGE(Data!D1351), "  ")</f>
        <v xml:space="preserve">  </v>
      </c>
      <c r="E1349" s="42" t="str">
        <f>IFERROR(AVERAGE(Data!E1351), "  ")</f>
        <v xml:space="preserve">  </v>
      </c>
      <c r="F1349" s="42" t="str">
        <f>IFERROR(AVERAGE(Data!F1351), "  ")</f>
        <v xml:space="preserve">  </v>
      </c>
      <c r="G1349" s="42" t="str">
        <f>IFERROR(AVERAGE(Data!G1351), "  ")</f>
        <v xml:space="preserve">  </v>
      </c>
      <c r="H1349" s="44" t="str">
        <f>IFERROR(AVERAGE(Data!H1351), "  ")</f>
        <v xml:space="preserve">  </v>
      </c>
      <c r="I1349" s="44" t="str">
        <f>IFERROR(AVERAGE(Data!I1351), "  ")</f>
        <v xml:space="preserve">  </v>
      </c>
      <c r="J1349" s="42" t="str">
        <f>IFERROR(AVERAGE(Data!J1351), "  ")</f>
        <v xml:space="preserve">  </v>
      </c>
      <c r="K1349" s="44" t="str">
        <f>IFERROR(AVERAGE(Data!K1351), "  ")</f>
        <v xml:space="preserve">  </v>
      </c>
      <c r="L1349" s="45" t="str">
        <f>IFERROR(AVERAGE(Data!L1351), "  ")</f>
        <v xml:space="preserve">  </v>
      </c>
    </row>
    <row r="1350" spans="1:12" x14ac:dyDescent="0.2">
      <c r="A1350" s="43"/>
      <c r="B1350" s="42" t="str">
        <f>IFERROR(AVERAGE(Data!B1352), "  ")</f>
        <v xml:space="preserve">  </v>
      </c>
      <c r="C1350" s="42" t="str">
        <f>IFERROR(AVERAGE(Data!C1352), "  ")</f>
        <v xml:space="preserve">  </v>
      </c>
      <c r="D1350" s="42" t="str">
        <f>IFERROR(AVERAGE(Data!D1352), "  ")</f>
        <v xml:space="preserve">  </v>
      </c>
      <c r="E1350" s="42" t="str">
        <f>IFERROR(AVERAGE(Data!E1352), "  ")</f>
        <v xml:space="preserve">  </v>
      </c>
      <c r="F1350" s="42" t="str">
        <f>IFERROR(AVERAGE(Data!F1352), "  ")</f>
        <v xml:space="preserve">  </v>
      </c>
      <c r="G1350" s="42" t="str">
        <f>IFERROR(AVERAGE(Data!G1352), "  ")</f>
        <v xml:space="preserve">  </v>
      </c>
      <c r="H1350" s="44" t="str">
        <f>IFERROR(AVERAGE(Data!H1352), "  ")</f>
        <v xml:space="preserve">  </v>
      </c>
      <c r="I1350" s="44" t="str">
        <f>IFERROR(AVERAGE(Data!I1352), "  ")</f>
        <v xml:space="preserve">  </v>
      </c>
      <c r="J1350" s="42" t="str">
        <f>IFERROR(AVERAGE(Data!J1352), "  ")</f>
        <v xml:space="preserve">  </v>
      </c>
      <c r="K1350" s="44" t="str">
        <f>IFERROR(AVERAGE(Data!K1352), "  ")</f>
        <v xml:space="preserve">  </v>
      </c>
      <c r="L1350" s="45" t="str">
        <f>IFERROR(AVERAGE(Data!L1352), "  ")</f>
        <v xml:space="preserve">  </v>
      </c>
    </row>
    <row r="1351" spans="1:12" x14ac:dyDescent="0.2">
      <c r="A1351" s="43"/>
      <c r="B1351" s="42" t="str">
        <f>IFERROR(AVERAGE(Data!B1353), "  ")</f>
        <v xml:space="preserve">  </v>
      </c>
      <c r="C1351" s="42" t="str">
        <f>IFERROR(AVERAGE(Data!C1353), "  ")</f>
        <v xml:space="preserve">  </v>
      </c>
      <c r="D1351" s="42" t="str">
        <f>IFERROR(AVERAGE(Data!D1353), "  ")</f>
        <v xml:space="preserve">  </v>
      </c>
      <c r="E1351" s="42" t="str">
        <f>IFERROR(AVERAGE(Data!E1353), "  ")</f>
        <v xml:space="preserve">  </v>
      </c>
      <c r="F1351" s="42" t="str">
        <f>IFERROR(AVERAGE(Data!F1353), "  ")</f>
        <v xml:space="preserve">  </v>
      </c>
      <c r="G1351" s="42" t="str">
        <f>IFERROR(AVERAGE(Data!G1353), "  ")</f>
        <v xml:space="preserve">  </v>
      </c>
      <c r="H1351" s="44" t="str">
        <f>IFERROR(AVERAGE(Data!H1353), "  ")</f>
        <v xml:space="preserve">  </v>
      </c>
      <c r="I1351" s="44" t="str">
        <f>IFERROR(AVERAGE(Data!I1353), "  ")</f>
        <v xml:space="preserve">  </v>
      </c>
      <c r="J1351" s="42" t="str">
        <f>IFERROR(AVERAGE(Data!J1353), "  ")</f>
        <v xml:space="preserve">  </v>
      </c>
      <c r="K1351" s="44" t="str">
        <f>IFERROR(AVERAGE(Data!K1353), "  ")</f>
        <v xml:space="preserve">  </v>
      </c>
      <c r="L1351" s="45" t="str">
        <f>IFERROR(AVERAGE(Data!L1353), "  ")</f>
        <v xml:space="preserve">  </v>
      </c>
    </row>
    <row r="1352" spans="1:12" x14ac:dyDescent="0.2">
      <c r="A1352" s="43"/>
      <c r="B1352" s="42" t="str">
        <f>IFERROR(AVERAGE(Data!B1354), "  ")</f>
        <v xml:space="preserve">  </v>
      </c>
      <c r="C1352" s="42" t="str">
        <f>IFERROR(AVERAGE(Data!C1354), "  ")</f>
        <v xml:space="preserve">  </v>
      </c>
      <c r="D1352" s="42" t="str">
        <f>IFERROR(AVERAGE(Data!D1354), "  ")</f>
        <v xml:space="preserve">  </v>
      </c>
      <c r="E1352" s="42" t="str">
        <f>IFERROR(AVERAGE(Data!E1354), "  ")</f>
        <v xml:space="preserve">  </v>
      </c>
      <c r="F1352" s="42" t="str">
        <f>IFERROR(AVERAGE(Data!F1354), "  ")</f>
        <v xml:space="preserve">  </v>
      </c>
      <c r="G1352" s="42" t="str">
        <f>IFERROR(AVERAGE(Data!G1354), "  ")</f>
        <v xml:space="preserve">  </v>
      </c>
      <c r="H1352" s="44" t="str">
        <f>IFERROR(AVERAGE(Data!H1354), "  ")</f>
        <v xml:space="preserve">  </v>
      </c>
      <c r="I1352" s="44" t="str">
        <f>IFERROR(AVERAGE(Data!I1354), "  ")</f>
        <v xml:space="preserve">  </v>
      </c>
      <c r="J1352" s="42" t="str">
        <f>IFERROR(AVERAGE(Data!J1354), "  ")</f>
        <v xml:space="preserve">  </v>
      </c>
      <c r="K1352" s="44" t="str">
        <f>IFERROR(AVERAGE(Data!K1354), "  ")</f>
        <v xml:space="preserve">  </v>
      </c>
      <c r="L1352" s="45" t="str">
        <f>IFERROR(AVERAGE(Data!L1354), "  ")</f>
        <v xml:space="preserve">  </v>
      </c>
    </row>
    <row r="1353" spans="1:12" x14ac:dyDescent="0.2">
      <c r="A1353" s="43"/>
      <c r="B1353" s="42" t="str">
        <f>IFERROR(AVERAGE(Data!B1355), "  ")</f>
        <v xml:space="preserve">  </v>
      </c>
      <c r="C1353" s="42" t="str">
        <f>IFERROR(AVERAGE(Data!C1355), "  ")</f>
        <v xml:space="preserve">  </v>
      </c>
      <c r="D1353" s="42" t="str">
        <f>IFERROR(AVERAGE(Data!D1355), "  ")</f>
        <v xml:space="preserve">  </v>
      </c>
      <c r="E1353" s="42" t="str">
        <f>IFERROR(AVERAGE(Data!E1355), "  ")</f>
        <v xml:space="preserve">  </v>
      </c>
      <c r="F1353" s="42" t="str">
        <f>IFERROR(AVERAGE(Data!F1355), "  ")</f>
        <v xml:space="preserve">  </v>
      </c>
      <c r="G1353" s="42" t="str">
        <f>IFERROR(AVERAGE(Data!G1355), "  ")</f>
        <v xml:space="preserve">  </v>
      </c>
      <c r="H1353" s="44" t="str">
        <f>IFERROR(AVERAGE(Data!H1355), "  ")</f>
        <v xml:space="preserve">  </v>
      </c>
      <c r="I1353" s="44" t="str">
        <f>IFERROR(AVERAGE(Data!I1355), "  ")</f>
        <v xml:space="preserve">  </v>
      </c>
      <c r="J1353" s="42" t="str">
        <f>IFERROR(AVERAGE(Data!J1355), "  ")</f>
        <v xml:space="preserve">  </v>
      </c>
      <c r="K1353" s="44" t="str">
        <f>IFERROR(AVERAGE(Data!K1355), "  ")</f>
        <v xml:space="preserve">  </v>
      </c>
      <c r="L1353" s="45" t="str">
        <f>IFERROR(AVERAGE(Data!L1355), "  ")</f>
        <v xml:space="preserve">  </v>
      </c>
    </row>
    <row r="1354" spans="1:12" x14ac:dyDescent="0.2">
      <c r="A1354" s="43"/>
      <c r="B1354" s="42" t="str">
        <f>IFERROR(AVERAGE(Data!B1356), "  ")</f>
        <v xml:space="preserve">  </v>
      </c>
      <c r="C1354" s="42" t="str">
        <f>IFERROR(AVERAGE(Data!C1356), "  ")</f>
        <v xml:space="preserve">  </v>
      </c>
      <c r="D1354" s="42" t="str">
        <f>IFERROR(AVERAGE(Data!D1356), "  ")</f>
        <v xml:space="preserve">  </v>
      </c>
      <c r="E1354" s="42" t="str">
        <f>IFERROR(AVERAGE(Data!E1356), "  ")</f>
        <v xml:space="preserve">  </v>
      </c>
      <c r="F1354" s="42" t="str">
        <f>IFERROR(AVERAGE(Data!F1356), "  ")</f>
        <v xml:space="preserve">  </v>
      </c>
      <c r="G1354" s="42" t="str">
        <f>IFERROR(AVERAGE(Data!G1356), "  ")</f>
        <v xml:space="preserve">  </v>
      </c>
      <c r="H1354" s="44" t="str">
        <f>IFERROR(AVERAGE(Data!H1356), "  ")</f>
        <v xml:space="preserve">  </v>
      </c>
      <c r="I1354" s="44" t="str">
        <f>IFERROR(AVERAGE(Data!I1356), "  ")</f>
        <v xml:space="preserve">  </v>
      </c>
      <c r="J1354" s="42" t="str">
        <f>IFERROR(AVERAGE(Data!J1356), "  ")</f>
        <v xml:space="preserve">  </v>
      </c>
      <c r="K1354" s="44" t="str">
        <f>IFERROR(AVERAGE(Data!K1356), "  ")</f>
        <v xml:space="preserve">  </v>
      </c>
      <c r="L1354" s="45" t="str">
        <f>IFERROR(AVERAGE(Data!L1356), "  ")</f>
        <v xml:space="preserve">  </v>
      </c>
    </row>
    <row r="1355" spans="1:12" x14ac:dyDescent="0.2">
      <c r="A1355" s="43"/>
      <c r="B1355" s="42" t="str">
        <f>IFERROR(AVERAGE(Data!B1357), "  ")</f>
        <v xml:space="preserve">  </v>
      </c>
      <c r="C1355" s="42" t="str">
        <f>IFERROR(AVERAGE(Data!C1357), "  ")</f>
        <v xml:space="preserve">  </v>
      </c>
      <c r="D1355" s="42" t="str">
        <f>IFERROR(AVERAGE(Data!D1357), "  ")</f>
        <v xml:space="preserve">  </v>
      </c>
      <c r="E1355" s="42" t="str">
        <f>IFERROR(AVERAGE(Data!E1357), "  ")</f>
        <v xml:space="preserve">  </v>
      </c>
      <c r="F1355" s="42" t="str">
        <f>IFERROR(AVERAGE(Data!F1357), "  ")</f>
        <v xml:space="preserve">  </v>
      </c>
      <c r="G1355" s="42" t="str">
        <f>IFERROR(AVERAGE(Data!G1357), "  ")</f>
        <v xml:space="preserve">  </v>
      </c>
      <c r="H1355" s="44" t="str">
        <f>IFERROR(AVERAGE(Data!H1357), "  ")</f>
        <v xml:space="preserve">  </v>
      </c>
      <c r="I1355" s="44" t="str">
        <f>IFERROR(AVERAGE(Data!I1357), "  ")</f>
        <v xml:space="preserve">  </v>
      </c>
      <c r="J1355" s="42" t="str">
        <f>IFERROR(AVERAGE(Data!J1357), "  ")</f>
        <v xml:space="preserve">  </v>
      </c>
      <c r="K1355" s="44" t="str">
        <f>IFERROR(AVERAGE(Data!K1357), "  ")</f>
        <v xml:space="preserve">  </v>
      </c>
      <c r="L1355" s="45" t="str">
        <f>IFERROR(AVERAGE(Data!L1357), "  ")</f>
        <v xml:space="preserve">  </v>
      </c>
    </row>
    <row r="1356" spans="1:12" x14ac:dyDescent="0.2">
      <c r="A1356" s="43"/>
      <c r="B1356" s="42" t="str">
        <f>IFERROR(AVERAGE(Data!B1358), "  ")</f>
        <v xml:space="preserve">  </v>
      </c>
      <c r="C1356" s="42" t="str">
        <f>IFERROR(AVERAGE(Data!C1358), "  ")</f>
        <v xml:space="preserve">  </v>
      </c>
      <c r="D1356" s="42" t="str">
        <f>IFERROR(AVERAGE(Data!D1358), "  ")</f>
        <v xml:space="preserve">  </v>
      </c>
      <c r="E1356" s="42" t="str">
        <f>IFERROR(AVERAGE(Data!E1358), "  ")</f>
        <v xml:space="preserve">  </v>
      </c>
      <c r="F1356" s="42" t="str">
        <f>IFERROR(AVERAGE(Data!F1358), "  ")</f>
        <v xml:space="preserve">  </v>
      </c>
      <c r="G1356" s="42" t="str">
        <f>IFERROR(AVERAGE(Data!G1358), "  ")</f>
        <v xml:space="preserve">  </v>
      </c>
      <c r="H1356" s="44" t="str">
        <f>IFERROR(AVERAGE(Data!H1358), "  ")</f>
        <v xml:space="preserve">  </v>
      </c>
      <c r="I1356" s="44" t="str">
        <f>IFERROR(AVERAGE(Data!I1358), "  ")</f>
        <v xml:space="preserve">  </v>
      </c>
      <c r="J1356" s="42" t="str">
        <f>IFERROR(AVERAGE(Data!J1358), "  ")</f>
        <v xml:space="preserve">  </v>
      </c>
      <c r="K1356" s="44" t="str">
        <f>IFERROR(AVERAGE(Data!K1358), "  ")</f>
        <v xml:space="preserve">  </v>
      </c>
      <c r="L1356" s="45" t="str">
        <f>IFERROR(AVERAGE(Data!L1358), "  ")</f>
        <v xml:space="preserve">  </v>
      </c>
    </row>
    <row r="1357" spans="1:12" x14ac:dyDescent="0.2">
      <c r="A1357" s="43"/>
      <c r="B1357" s="42" t="str">
        <f>IFERROR(AVERAGE(Data!B1359), "  ")</f>
        <v xml:space="preserve">  </v>
      </c>
      <c r="C1357" s="42" t="str">
        <f>IFERROR(AVERAGE(Data!C1359), "  ")</f>
        <v xml:space="preserve">  </v>
      </c>
      <c r="D1357" s="42" t="str">
        <f>IFERROR(AVERAGE(Data!D1359), "  ")</f>
        <v xml:space="preserve">  </v>
      </c>
      <c r="E1357" s="42" t="str">
        <f>IFERROR(AVERAGE(Data!E1359), "  ")</f>
        <v xml:space="preserve">  </v>
      </c>
      <c r="F1357" s="42" t="str">
        <f>IFERROR(AVERAGE(Data!F1359), "  ")</f>
        <v xml:space="preserve">  </v>
      </c>
      <c r="G1357" s="42" t="str">
        <f>IFERROR(AVERAGE(Data!G1359), "  ")</f>
        <v xml:space="preserve">  </v>
      </c>
      <c r="H1357" s="44" t="str">
        <f>IFERROR(AVERAGE(Data!H1359), "  ")</f>
        <v xml:space="preserve">  </v>
      </c>
      <c r="I1357" s="44" t="str">
        <f>IFERROR(AVERAGE(Data!I1359), "  ")</f>
        <v xml:space="preserve">  </v>
      </c>
      <c r="J1357" s="42" t="str">
        <f>IFERROR(AVERAGE(Data!J1359), "  ")</f>
        <v xml:space="preserve">  </v>
      </c>
      <c r="K1357" s="44" t="str">
        <f>IFERROR(AVERAGE(Data!K1359), "  ")</f>
        <v xml:space="preserve">  </v>
      </c>
      <c r="L1357" s="45" t="str">
        <f>IFERROR(AVERAGE(Data!L1359), "  ")</f>
        <v xml:space="preserve">  </v>
      </c>
    </row>
    <row r="1358" spans="1:12" x14ac:dyDescent="0.2">
      <c r="A1358" s="43"/>
      <c r="B1358" s="42" t="str">
        <f>IFERROR(AVERAGE(Data!B1360), "  ")</f>
        <v xml:space="preserve">  </v>
      </c>
      <c r="C1358" s="42" t="str">
        <f>IFERROR(AVERAGE(Data!C1360), "  ")</f>
        <v xml:space="preserve">  </v>
      </c>
      <c r="D1358" s="42" t="str">
        <f>IFERROR(AVERAGE(Data!D1360), "  ")</f>
        <v xml:space="preserve">  </v>
      </c>
      <c r="E1358" s="42" t="str">
        <f>IFERROR(AVERAGE(Data!E1360), "  ")</f>
        <v xml:space="preserve">  </v>
      </c>
      <c r="F1358" s="42" t="str">
        <f>IFERROR(AVERAGE(Data!F1360), "  ")</f>
        <v xml:space="preserve">  </v>
      </c>
      <c r="G1358" s="42" t="str">
        <f>IFERROR(AVERAGE(Data!G1360), "  ")</f>
        <v xml:space="preserve">  </v>
      </c>
      <c r="H1358" s="44" t="str">
        <f>IFERROR(AVERAGE(Data!H1360), "  ")</f>
        <v xml:space="preserve">  </v>
      </c>
      <c r="I1358" s="44" t="str">
        <f>IFERROR(AVERAGE(Data!I1360), "  ")</f>
        <v xml:space="preserve">  </v>
      </c>
      <c r="J1358" s="42" t="str">
        <f>IFERROR(AVERAGE(Data!J1360), "  ")</f>
        <v xml:space="preserve">  </v>
      </c>
      <c r="K1358" s="44" t="str">
        <f>IFERROR(AVERAGE(Data!K1360), "  ")</f>
        <v xml:space="preserve">  </v>
      </c>
      <c r="L1358" s="45" t="str">
        <f>IFERROR(AVERAGE(Data!L1360), "  ")</f>
        <v xml:space="preserve">  </v>
      </c>
    </row>
    <row r="1359" spans="1:12" x14ac:dyDescent="0.2">
      <c r="A1359" s="43"/>
      <c r="B1359" s="42" t="str">
        <f>IFERROR(AVERAGE(Data!B1361), "  ")</f>
        <v xml:space="preserve">  </v>
      </c>
      <c r="C1359" s="42" t="str">
        <f>IFERROR(AVERAGE(Data!C1361), "  ")</f>
        <v xml:space="preserve">  </v>
      </c>
      <c r="D1359" s="42" t="str">
        <f>IFERROR(AVERAGE(Data!D1361), "  ")</f>
        <v xml:space="preserve">  </v>
      </c>
      <c r="E1359" s="42" t="str">
        <f>IFERROR(AVERAGE(Data!E1361), "  ")</f>
        <v xml:space="preserve">  </v>
      </c>
      <c r="F1359" s="42" t="str">
        <f>IFERROR(AVERAGE(Data!F1361), "  ")</f>
        <v xml:space="preserve">  </v>
      </c>
      <c r="G1359" s="42" t="str">
        <f>IFERROR(AVERAGE(Data!G1361), "  ")</f>
        <v xml:space="preserve">  </v>
      </c>
      <c r="H1359" s="44" t="str">
        <f>IFERROR(AVERAGE(Data!H1361), "  ")</f>
        <v xml:space="preserve">  </v>
      </c>
      <c r="I1359" s="44" t="str">
        <f>IFERROR(AVERAGE(Data!I1361), "  ")</f>
        <v xml:space="preserve">  </v>
      </c>
      <c r="J1359" s="42" t="str">
        <f>IFERROR(AVERAGE(Data!J1361), "  ")</f>
        <v xml:space="preserve">  </v>
      </c>
      <c r="K1359" s="44" t="str">
        <f>IFERROR(AVERAGE(Data!K1361), "  ")</f>
        <v xml:space="preserve">  </v>
      </c>
      <c r="L1359" s="45" t="str">
        <f>IFERROR(AVERAGE(Data!L1361), "  ")</f>
        <v xml:space="preserve">  </v>
      </c>
    </row>
    <row r="1360" spans="1:12" x14ac:dyDescent="0.2">
      <c r="A1360" s="43"/>
      <c r="B1360" s="42" t="str">
        <f>IFERROR(AVERAGE(Data!B1362), "  ")</f>
        <v xml:space="preserve">  </v>
      </c>
      <c r="C1360" s="42" t="str">
        <f>IFERROR(AVERAGE(Data!C1362), "  ")</f>
        <v xml:space="preserve">  </v>
      </c>
      <c r="D1360" s="42" t="str">
        <f>IFERROR(AVERAGE(Data!D1362), "  ")</f>
        <v xml:space="preserve">  </v>
      </c>
      <c r="E1360" s="42" t="str">
        <f>IFERROR(AVERAGE(Data!E1362), "  ")</f>
        <v xml:space="preserve">  </v>
      </c>
      <c r="F1360" s="42" t="str">
        <f>IFERROR(AVERAGE(Data!F1362), "  ")</f>
        <v xml:space="preserve">  </v>
      </c>
      <c r="G1360" s="42" t="str">
        <f>IFERROR(AVERAGE(Data!G1362), "  ")</f>
        <v xml:space="preserve">  </v>
      </c>
      <c r="H1360" s="44" t="str">
        <f>IFERROR(AVERAGE(Data!H1362), "  ")</f>
        <v xml:space="preserve">  </v>
      </c>
      <c r="I1360" s="44" t="str">
        <f>IFERROR(AVERAGE(Data!I1362), "  ")</f>
        <v xml:space="preserve">  </v>
      </c>
      <c r="J1360" s="42" t="str">
        <f>IFERROR(AVERAGE(Data!J1362), "  ")</f>
        <v xml:space="preserve">  </v>
      </c>
      <c r="K1360" s="44" t="str">
        <f>IFERROR(AVERAGE(Data!K1362), "  ")</f>
        <v xml:space="preserve">  </v>
      </c>
      <c r="L1360" s="45" t="str">
        <f>IFERROR(AVERAGE(Data!L1362), "  ")</f>
        <v xml:space="preserve">  </v>
      </c>
    </row>
    <row r="1361" spans="1:12" x14ac:dyDescent="0.2">
      <c r="A1361" s="43"/>
      <c r="B1361" s="42" t="str">
        <f>IFERROR(AVERAGE(Data!B1363), "  ")</f>
        <v xml:space="preserve">  </v>
      </c>
      <c r="C1361" s="42" t="str">
        <f>IFERROR(AVERAGE(Data!C1363), "  ")</f>
        <v xml:space="preserve">  </v>
      </c>
      <c r="D1361" s="42" t="str">
        <f>IFERROR(AVERAGE(Data!D1363), "  ")</f>
        <v xml:space="preserve">  </v>
      </c>
      <c r="E1361" s="42" t="str">
        <f>IFERROR(AVERAGE(Data!E1363), "  ")</f>
        <v xml:space="preserve">  </v>
      </c>
      <c r="F1361" s="42" t="str">
        <f>IFERROR(AVERAGE(Data!F1363), "  ")</f>
        <v xml:space="preserve">  </v>
      </c>
      <c r="G1361" s="42" t="str">
        <f>IFERROR(AVERAGE(Data!G1363), "  ")</f>
        <v xml:space="preserve">  </v>
      </c>
      <c r="H1361" s="44" t="str">
        <f>IFERROR(AVERAGE(Data!H1363), "  ")</f>
        <v xml:space="preserve">  </v>
      </c>
      <c r="I1361" s="44" t="str">
        <f>IFERROR(AVERAGE(Data!I1363), "  ")</f>
        <v xml:space="preserve">  </v>
      </c>
      <c r="J1361" s="42" t="str">
        <f>IFERROR(AVERAGE(Data!J1363), "  ")</f>
        <v xml:space="preserve">  </v>
      </c>
      <c r="K1361" s="44" t="str">
        <f>IFERROR(AVERAGE(Data!K1363), "  ")</f>
        <v xml:space="preserve">  </v>
      </c>
      <c r="L1361" s="45" t="str">
        <f>IFERROR(AVERAGE(Data!L1363), "  ")</f>
        <v xml:space="preserve">  </v>
      </c>
    </row>
    <row r="1362" spans="1:12" x14ac:dyDescent="0.2">
      <c r="A1362" s="43"/>
      <c r="B1362" s="42" t="str">
        <f>IFERROR(AVERAGE(Data!B1364), "  ")</f>
        <v xml:space="preserve">  </v>
      </c>
      <c r="C1362" s="42" t="str">
        <f>IFERROR(AVERAGE(Data!C1364), "  ")</f>
        <v xml:space="preserve">  </v>
      </c>
      <c r="D1362" s="42" t="str">
        <f>IFERROR(AVERAGE(Data!D1364), "  ")</f>
        <v xml:space="preserve">  </v>
      </c>
      <c r="E1362" s="42" t="str">
        <f>IFERROR(AVERAGE(Data!E1364), "  ")</f>
        <v xml:space="preserve">  </v>
      </c>
      <c r="F1362" s="42" t="str">
        <f>IFERROR(AVERAGE(Data!F1364), "  ")</f>
        <v xml:space="preserve">  </v>
      </c>
      <c r="G1362" s="42" t="str">
        <f>IFERROR(AVERAGE(Data!G1364), "  ")</f>
        <v xml:space="preserve">  </v>
      </c>
      <c r="H1362" s="44" t="str">
        <f>IFERROR(AVERAGE(Data!H1364), "  ")</f>
        <v xml:space="preserve">  </v>
      </c>
      <c r="I1362" s="44" t="str">
        <f>IFERROR(AVERAGE(Data!I1364), "  ")</f>
        <v xml:space="preserve">  </v>
      </c>
      <c r="J1362" s="42" t="str">
        <f>IFERROR(AVERAGE(Data!J1364), "  ")</f>
        <v xml:space="preserve">  </v>
      </c>
      <c r="K1362" s="44" t="str">
        <f>IFERROR(AVERAGE(Data!K1364), "  ")</f>
        <v xml:space="preserve">  </v>
      </c>
      <c r="L1362" s="45" t="str">
        <f>IFERROR(AVERAGE(Data!L1364), "  ")</f>
        <v xml:space="preserve">  </v>
      </c>
    </row>
    <row r="1363" spans="1:12" x14ac:dyDescent="0.2">
      <c r="A1363" s="43"/>
      <c r="B1363" s="42" t="str">
        <f>IFERROR(AVERAGE(Data!B1365), "  ")</f>
        <v xml:space="preserve">  </v>
      </c>
      <c r="C1363" s="42" t="str">
        <f>IFERROR(AVERAGE(Data!C1365), "  ")</f>
        <v xml:space="preserve">  </v>
      </c>
      <c r="D1363" s="42" t="str">
        <f>IFERROR(AVERAGE(Data!D1365), "  ")</f>
        <v xml:space="preserve">  </v>
      </c>
      <c r="E1363" s="42" t="str">
        <f>IFERROR(AVERAGE(Data!E1365), "  ")</f>
        <v xml:space="preserve">  </v>
      </c>
      <c r="F1363" s="42" t="str">
        <f>IFERROR(AVERAGE(Data!F1365), "  ")</f>
        <v xml:space="preserve">  </v>
      </c>
      <c r="G1363" s="42" t="str">
        <f>IFERROR(AVERAGE(Data!G1365), "  ")</f>
        <v xml:space="preserve">  </v>
      </c>
      <c r="H1363" s="44" t="str">
        <f>IFERROR(AVERAGE(Data!H1365), "  ")</f>
        <v xml:space="preserve">  </v>
      </c>
      <c r="I1363" s="44" t="str">
        <f>IFERROR(AVERAGE(Data!I1365), "  ")</f>
        <v xml:space="preserve">  </v>
      </c>
      <c r="J1363" s="42" t="str">
        <f>IFERROR(AVERAGE(Data!J1365), "  ")</f>
        <v xml:space="preserve">  </v>
      </c>
      <c r="K1363" s="44" t="str">
        <f>IFERROR(AVERAGE(Data!K1365), "  ")</f>
        <v xml:space="preserve">  </v>
      </c>
      <c r="L1363" s="45" t="str">
        <f>IFERROR(AVERAGE(Data!L1365), "  ")</f>
        <v xml:space="preserve">  </v>
      </c>
    </row>
    <row r="1364" spans="1:12" x14ac:dyDescent="0.2">
      <c r="A1364" s="43"/>
      <c r="B1364" s="42" t="str">
        <f>IFERROR(AVERAGE(Data!B1366), "  ")</f>
        <v xml:space="preserve">  </v>
      </c>
      <c r="C1364" s="42" t="str">
        <f>IFERROR(AVERAGE(Data!C1366), "  ")</f>
        <v xml:space="preserve">  </v>
      </c>
      <c r="D1364" s="42" t="str">
        <f>IFERROR(AVERAGE(Data!D1366), "  ")</f>
        <v xml:space="preserve">  </v>
      </c>
      <c r="E1364" s="42" t="str">
        <f>IFERROR(AVERAGE(Data!E1366), "  ")</f>
        <v xml:space="preserve">  </v>
      </c>
      <c r="F1364" s="42" t="str">
        <f>IFERROR(AVERAGE(Data!F1366), "  ")</f>
        <v xml:space="preserve">  </v>
      </c>
      <c r="G1364" s="42" t="str">
        <f>IFERROR(AVERAGE(Data!G1366), "  ")</f>
        <v xml:space="preserve">  </v>
      </c>
      <c r="H1364" s="44" t="str">
        <f>IFERROR(AVERAGE(Data!H1366), "  ")</f>
        <v xml:space="preserve">  </v>
      </c>
      <c r="I1364" s="44" t="str">
        <f>IFERROR(AVERAGE(Data!I1366), "  ")</f>
        <v xml:space="preserve">  </v>
      </c>
      <c r="J1364" s="42" t="str">
        <f>IFERROR(AVERAGE(Data!J1366), "  ")</f>
        <v xml:space="preserve">  </v>
      </c>
      <c r="K1364" s="44" t="str">
        <f>IFERROR(AVERAGE(Data!K1366), "  ")</f>
        <v xml:space="preserve">  </v>
      </c>
      <c r="L1364" s="45" t="str">
        <f>IFERROR(AVERAGE(Data!L1366), "  ")</f>
        <v xml:space="preserve">  </v>
      </c>
    </row>
    <row r="1365" spans="1:12" x14ac:dyDescent="0.2">
      <c r="A1365" s="43"/>
      <c r="B1365" s="42" t="str">
        <f>IFERROR(AVERAGE(Data!B1367), "  ")</f>
        <v xml:space="preserve">  </v>
      </c>
      <c r="C1365" s="42" t="str">
        <f>IFERROR(AVERAGE(Data!C1367), "  ")</f>
        <v xml:space="preserve">  </v>
      </c>
      <c r="D1365" s="42" t="str">
        <f>IFERROR(AVERAGE(Data!D1367), "  ")</f>
        <v xml:space="preserve">  </v>
      </c>
      <c r="E1365" s="42" t="str">
        <f>IFERROR(AVERAGE(Data!E1367), "  ")</f>
        <v xml:space="preserve">  </v>
      </c>
      <c r="F1365" s="42" t="str">
        <f>IFERROR(AVERAGE(Data!F1367), "  ")</f>
        <v xml:space="preserve">  </v>
      </c>
      <c r="G1365" s="42" t="str">
        <f>IFERROR(AVERAGE(Data!G1367), "  ")</f>
        <v xml:space="preserve">  </v>
      </c>
      <c r="H1365" s="44" t="str">
        <f>IFERROR(AVERAGE(Data!H1367), "  ")</f>
        <v xml:space="preserve">  </v>
      </c>
      <c r="I1365" s="44" t="str">
        <f>IFERROR(AVERAGE(Data!I1367), "  ")</f>
        <v xml:space="preserve">  </v>
      </c>
      <c r="J1365" s="42" t="str">
        <f>IFERROR(AVERAGE(Data!J1367), "  ")</f>
        <v xml:space="preserve">  </v>
      </c>
      <c r="K1365" s="44" t="str">
        <f>IFERROR(AVERAGE(Data!K1367), "  ")</f>
        <v xml:space="preserve">  </v>
      </c>
      <c r="L1365" s="45" t="str">
        <f>IFERROR(AVERAGE(Data!L1367), "  ")</f>
        <v xml:space="preserve">  </v>
      </c>
    </row>
    <row r="1366" spans="1:12" x14ac:dyDescent="0.2">
      <c r="A1366" s="43"/>
      <c r="B1366" s="42" t="str">
        <f>IFERROR(AVERAGE(Data!B1368), "  ")</f>
        <v xml:space="preserve">  </v>
      </c>
      <c r="C1366" s="42" t="str">
        <f>IFERROR(AVERAGE(Data!C1368), "  ")</f>
        <v xml:space="preserve">  </v>
      </c>
      <c r="D1366" s="42" t="str">
        <f>IFERROR(AVERAGE(Data!D1368), "  ")</f>
        <v xml:space="preserve">  </v>
      </c>
      <c r="E1366" s="42" t="str">
        <f>IFERROR(AVERAGE(Data!E1368), "  ")</f>
        <v xml:space="preserve">  </v>
      </c>
      <c r="F1366" s="42" t="str">
        <f>IFERROR(AVERAGE(Data!F1368), "  ")</f>
        <v xml:space="preserve">  </v>
      </c>
      <c r="G1366" s="42" t="str">
        <f>IFERROR(AVERAGE(Data!G1368), "  ")</f>
        <v xml:space="preserve">  </v>
      </c>
      <c r="H1366" s="44" t="str">
        <f>IFERROR(AVERAGE(Data!H1368), "  ")</f>
        <v xml:space="preserve">  </v>
      </c>
      <c r="I1366" s="44" t="str">
        <f>IFERROR(AVERAGE(Data!I1368), "  ")</f>
        <v xml:space="preserve">  </v>
      </c>
      <c r="J1366" s="42" t="str">
        <f>IFERROR(AVERAGE(Data!J1368), "  ")</f>
        <v xml:space="preserve">  </v>
      </c>
      <c r="K1366" s="44" t="str">
        <f>IFERROR(AVERAGE(Data!K1368), "  ")</f>
        <v xml:space="preserve">  </v>
      </c>
      <c r="L1366" s="45" t="str">
        <f>IFERROR(AVERAGE(Data!L1368), "  ")</f>
        <v xml:space="preserve">  </v>
      </c>
    </row>
    <row r="1367" spans="1:12" x14ac:dyDescent="0.2">
      <c r="A1367" s="43"/>
      <c r="B1367" s="42" t="str">
        <f>IFERROR(AVERAGE(Data!B1369), "  ")</f>
        <v xml:space="preserve">  </v>
      </c>
      <c r="C1367" s="42" t="str">
        <f>IFERROR(AVERAGE(Data!C1369), "  ")</f>
        <v xml:space="preserve">  </v>
      </c>
      <c r="D1367" s="42" t="str">
        <f>IFERROR(AVERAGE(Data!D1369), "  ")</f>
        <v xml:space="preserve">  </v>
      </c>
      <c r="E1367" s="42" t="str">
        <f>IFERROR(AVERAGE(Data!E1369), "  ")</f>
        <v xml:space="preserve">  </v>
      </c>
      <c r="F1367" s="42" t="str">
        <f>IFERROR(AVERAGE(Data!F1369), "  ")</f>
        <v xml:space="preserve">  </v>
      </c>
      <c r="G1367" s="42" t="str">
        <f>IFERROR(AVERAGE(Data!G1369), "  ")</f>
        <v xml:space="preserve">  </v>
      </c>
      <c r="H1367" s="44" t="str">
        <f>IFERROR(AVERAGE(Data!H1369), "  ")</f>
        <v xml:space="preserve">  </v>
      </c>
      <c r="I1367" s="44" t="str">
        <f>IFERROR(AVERAGE(Data!I1369), "  ")</f>
        <v xml:space="preserve">  </v>
      </c>
      <c r="J1367" s="42" t="str">
        <f>IFERROR(AVERAGE(Data!J1369), "  ")</f>
        <v xml:space="preserve">  </v>
      </c>
      <c r="K1367" s="44" t="str">
        <f>IFERROR(AVERAGE(Data!K1369), "  ")</f>
        <v xml:space="preserve">  </v>
      </c>
      <c r="L1367" s="45" t="str">
        <f>IFERROR(AVERAGE(Data!L1369), "  ")</f>
        <v xml:space="preserve">  </v>
      </c>
    </row>
    <row r="1368" spans="1:12" x14ac:dyDescent="0.2">
      <c r="A1368" s="43"/>
      <c r="B1368" s="42" t="str">
        <f>IFERROR(AVERAGE(Data!B1370), "  ")</f>
        <v xml:space="preserve">  </v>
      </c>
      <c r="C1368" s="42" t="str">
        <f>IFERROR(AVERAGE(Data!C1370), "  ")</f>
        <v xml:space="preserve">  </v>
      </c>
      <c r="D1368" s="42" t="str">
        <f>IFERROR(AVERAGE(Data!D1370), "  ")</f>
        <v xml:space="preserve">  </v>
      </c>
      <c r="E1368" s="42" t="str">
        <f>IFERROR(AVERAGE(Data!E1370), "  ")</f>
        <v xml:space="preserve">  </v>
      </c>
      <c r="F1368" s="42" t="str">
        <f>IFERROR(AVERAGE(Data!F1370), "  ")</f>
        <v xml:space="preserve">  </v>
      </c>
      <c r="G1368" s="42" t="str">
        <f>IFERROR(AVERAGE(Data!G1370), "  ")</f>
        <v xml:space="preserve">  </v>
      </c>
      <c r="H1368" s="44" t="str">
        <f>IFERROR(AVERAGE(Data!H1370), "  ")</f>
        <v xml:space="preserve">  </v>
      </c>
      <c r="I1368" s="44" t="str">
        <f>IFERROR(AVERAGE(Data!I1370), "  ")</f>
        <v xml:space="preserve">  </v>
      </c>
      <c r="J1368" s="42" t="str">
        <f>IFERROR(AVERAGE(Data!J1370), "  ")</f>
        <v xml:space="preserve">  </v>
      </c>
      <c r="K1368" s="44" t="str">
        <f>IFERROR(AVERAGE(Data!K1370), "  ")</f>
        <v xml:space="preserve">  </v>
      </c>
      <c r="L1368" s="45" t="str">
        <f>IFERROR(AVERAGE(Data!L1370), "  ")</f>
        <v xml:space="preserve">  </v>
      </c>
    </row>
    <row r="1369" spans="1:12" x14ac:dyDescent="0.2">
      <c r="A1369" s="43"/>
      <c r="B1369" s="42" t="str">
        <f>IFERROR(AVERAGE(Data!B1371), "  ")</f>
        <v xml:space="preserve">  </v>
      </c>
      <c r="C1369" s="42" t="str">
        <f>IFERROR(AVERAGE(Data!C1371), "  ")</f>
        <v xml:space="preserve">  </v>
      </c>
      <c r="D1369" s="42" t="str">
        <f>IFERROR(AVERAGE(Data!D1371), "  ")</f>
        <v xml:space="preserve">  </v>
      </c>
      <c r="E1369" s="42" t="str">
        <f>IFERROR(AVERAGE(Data!E1371), "  ")</f>
        <v xml:space="preserve">  </v>
      </c>
      <c r="F1369" s="42" t="str">
        <f>IFERROR(AVERAGE(Data!F1371), "  ")</f>
        <v xml:space="preserve">  </v>
      </c>
      <c r="G1369" s="42" t="str">
        <f>IFERROR(AVERAGE(Data!G1371), "  ")</f>
        <v xml:space="preserve">  </v>
      </c>
      <c r="H1369" s="44" t="str">
        <f>IFERROR(AVERAGE(Data!H1371), "  ")</f>
        <v xml:space="preserve">  </v>
      </c>
      <c r="I1369" s="44" t="str">
        <f>IFERROR(AVERAGE(Data!I1371), "  ")</f>
        <v xml:space="preserve">  </v>
      </c>
      <c r="J1369" s="42" t="str">
        <f>IFERROR(AVERAGE(Data!J1371), "  ")</f>
        <v xml:space="preserve">  </v>
      </c>
      <c r="K1369" s="44" t="str">
        <f>IFERROR(AVERAGE(Data!K1371), "  ")</f>
        <v xml:space="preserve">  </v>
      </c>
      <c r="L1369" s="45" t="str">
        <f>IFERROR(AVERAGE(Data!L1371), "  ")</f>
        <v xml:space="preserve">  </v>
      </c>
    </row>
    <row r="1370" spans="1:12" x14ac:dyDescent="0.2">
      <c r="A1370" s="43"/>
      <c r="B1370" s="42" t="str">
        <f>IFERROR(AVERAGE(Data!B1372), "  ")</f>
        <v xml:space="preserve">  </v>
      </c>
      <c r="C1370" s="42" t="str">
        <f>IFERROR(AVERAGE(Data!C1372), "  ")</f>
        <v xml:space="preserve">  </v>
      </c>
      <c r="D1370" s="42" t="str">
        <f>IFERROR(AVERAGE(Data!D1372), "  ")</f>
        <v xml:space="preserve">  </v>
      </c>
      <c r="E1370" s="42" t="str">
        <f>IFERROR(AVERAGE(Data!E1372), "  ")</f>
        <v xml:space="preserve">  </v>
      </c>
      <c r="F1370" s="42" t="str">
        <f>IFERROR(AVERAGE(Data!F1372), "  ")</f>
        <v xml:space="preserve">  </v>
      </c>
      <c r="G1370" s="42" t="str">
        <f>IFERROR(AVERAGE(Data!G1372), "  ")</f>
        <v xml:space="preserve">  </v>
      </c>
      <c r="H1370" s="44" t="str">
        <f>IFERROR(AVERAGE(Data!H1372), "  ")</f>
        <v xml:space="preserve">  </v>
      </c>
      <c r="I1370" s="44" t="str">
        <f>IFERROR(AVERAGE(Data!I1372), "  ")</f>
        <v xml:space="preserve">  </v>
      </c>
      <c r="J1370" s="42" t="str">
        <f>IFERROR(AVERAGE(Data!J1372), "  ")</f>
        <v xml:space="preserve">  </v>
      </c>
      <c r="K1370" s="44" t="str">
        <f>IFERROR(AVERAGE(Data!K1372), "  ")</f>
        <v xml:space="preserve">  </v>
      </c>
      <c r="L1370" s="45" t="str">
        <f>IFERROR(AVERAGE(Data!L1372), "  ")</f>
        <v xml:space="preserve">  </v>
      </c>
    </row>
    <row r="1371" spans="1:12" x14ac:dyDescent="0.2">
      <c r="A1371" s="43"/>
      <c r="B1371" s="42" t="str">
        <f>IFERROR(AVERAGE(Data!B1373), "  ")</f>
        <v xml:space="preserve">  </v>
      </c>
      <c r="C1371" s="42" t="str">
        <f>IFERROR(AVERAGE(Data!C1373), "  ")</f>
        <v xml:space="preserve">  </v>
      </c>
      <c r="D1371" s="42" t="str">
        <f>IFERROR(AVERAGE(Data!D1373), "  ")</f>
        <v xml:space="preserve">  </v>
      </c>
      <c r="E1371" s="42" t="str">
        <f>IFERROR(AVERAGE(Data!E1373), "  ")</f>
        <v xml:space="preserve">  </v>
      </c>
      <c r="F1371" s="42" t="str">
        <f>IFERROR(AVERAGE(Data!F1373), "  ")</f>
        <v xml:space="preserve">  </v>
      </c>
      <c r="G1371" s="42" t="str">
        <f>IFERROR(AVERAGE(Data!G1373), "  ")</f>
        <v xml:space="preserve">  </v>
      </c>
      <c r="H1371" s="44" t="str">
        <f>IFERROR(AVERAGE(Data!H1373), "  ")</f>
        <v xml:space="preserve">  </v>
      </c>
      <c r="I1371" s="44" t="str">
        <f>IFERROR(AVERAGE(Data!I1373), "  ")</f>
        <v xml:space="preserve">  </v>
      </c>
      <c r="J1371" s="42" t="str">
        <f>IFERROR(AVERAGE(Data!J1373), "  ")</f>
        <v xml:space="preserve">  </v>
      </c>
      <c r="K1371" s="44" t="str">
        <f>IFERROR(AVERAGE(Data!K1373), "  ")</f>
        <v xml:space="preserve">  </v>
      </c>
      <c r="L1371" s="45" t="str">
        <f>IFERROR(AVERAGE(Data!L1373), "  ")</f>
        <v xml:space="preserve">  </v>
      </c>
    </row>
    <row r="1372" spans="1:12" x14ac:dyDescent="0.2">
      <c r="A1372" s="43"/>
      <c r="B1372" s="42" t="str">
        <f>IFERROR(AVERAGE(Data!B1374), "  ")</f>
        <v xml:space="preserve">  </v>
      </c>
      <c r="C1372" s="42" t="str">
        <f>IFERROR(AVERAGE(Data!C1374), "  ")</f>
        <v xml:space="preserve">  </v>
      </c>
      <c r="D1372" s="42" t="str">
        <f>IFERROR(AVERAGE(Data!D1374), "  ")</f>
        <v xml:space="preserve">  </v>
      </c>
      <c r="E1372" s="42" t="str">
        <f>IFERROR(AVERAGE(Data!E1374), "  ")</f>
        <v xml:space="preserve">  </v>
      </c>
      <c r="F1372" s="42" t="str">
        <f>IFERROR(AVERAGE(Data!F1374), "  ")</f>
        <v xml:space="preserve">  </v>
      </c>
      <c r="G1372" s="42" t="str">
        <f>IFERROR(AVERAGE(Data!G1374), "  ")</f>
        <v xml:space="preserve">  </v>
      </c>
      <c r="H1372" s="44" t="str">
        <f>IFERROR(AVERAGE(Data!H1374), "  ")</f>
        <v xml:space="preserve">  </v>
      </c>
      <c r="I1372" s="44" t="str">
        <f>IFERROR(AVERAGE(Data!I1374), "  ")</f>
        <v xml:space="preserve">  </v>
      </c>
      <c r="J1372" s="42" t="str">
        <f>IFERROR(AVERAGE(Data!J1374), "  ")</f>
        <v xml:space="preserve">  </v>
      </c>
      <c r="K1372" s="44" t="str">
        <f>IFERROR(AVERAGE(Data!K1374), "  ")</f>
        <v xml:space="preserve">  </v>
      </c>
      <c r="L1372" s="45" t="str">
        <f>IFERROR(AVERAGE(Data!L1374), "  ")</f>
        <v xml:space="preserve">  </v>
      </c>
    </row>
    <row r="1373" spans="1:12" x14ac:dyDescent="0.2">
      <c r="A1373" s="43"/>
      <c r="B1373" s="42" t="str">
        <f>IFERROR(AVERAGE(Data!B1375), "  ")</f>
        <v xml:space="preserve">  </v>
      </c>
      <c r="C1373" s="42" t="str">
        <f>IFERROR(AVERAGE(Data!C1375), "  ")</f>
        <v xml:space="preserve">  </v>
      </c>
      <c r="D1373" s="42" t="str">
        <f>IFERROR(AVERAGE(Data!D1375), "  ")</f>
        <v xml:space="preserve">  </v>
      </c>
      <c r="E1373" s="42" t="str">
        <f>IFERROR(AVERAGE(Data!E1375), "  ")</f>
        <v xml:space="preserve">  </v>
      </c>
      <c r="F1373" s="42" t="str">
        <f>IFERROR(AVERAGE(Data!F1375), "  ")</f>
        <v xml:space="preserve">  </v>
      </c>
      <c r="G1373" s="42" t="str">
        <f>IFERROR(AVERAGE(Data!G1375), "  ")</f>
        <v xml:space="preserve">  </v>
      </c>
      <c r="H1373" s="44" t="str">
        <f>IFERROR(AVERAGE(Data!H1375), "  ")</f>
        <v xml:space="preserve">  </v>
      </c>
      <c r="I1373" s="44" t="str">
        <f>IFERROR(AVERAGE(Data!I1375), "  ")</f>
        <v xml:space="preserve">  </v>
      </c>
      <c r="J1373" s="42" t="str">
        <f>IFERROR(AVERAGE(Data!J1375), "  ")</f>
        <v xml:space="preserve">  </v>
      </c>
      <c r="K1373" s="44" t="str">
        <f>IFERROR(AVERAGE(Data!K1375), "  ")</f>
        <v xml:space="preserve">  </v>
      </c>
      <c r="L1373" s="45" t="str">
        <f>IFERROR(AVERAGE(Data!L1375), "  ")</f>
        <v xml:space="preserve">  </v>
      </c>
    </row>
    <row r="1374" spans="1:12" x14ac:dyDescent="0.2">
      <c r="A1374" s="43"/>
      <c r="B1374" s="42" t="str">
        <f>IFERROR(AVERAGE(Data!B1376), "  ")</f>
        <v xml:space="preserve">  </v>
      </c>
      <c r="C1374" s="42" t="str">
        <f>IFERROR(AVERAGE(Data!C1376), "  ")</f>
        <v xml:space="preserve">  </v>
      </c>
      <c r="D1374" s="42" t="str">
        <f>IFERROR(AVERAGE(Data!D1376), "  ")</f>
        <v xml:space="preserve">  </v>
      </c>
      <c r="E1374" s="42" t="str">
        <f>IFERROR(AVERAGE(Data!E1376), "  ")</f>
        <v xml:space="preserve">  </v>
      </c>
      <c r="F1374" s="42" t="str">
        <f>IFERROR(AVERAGE(Data!F1376), "  ")</f>
        <v xml:space="preserve">  </v>
      </c>
      <c r="G1374" s="42" t="str">
        <f>IFERROR(AVERAGE(Data!G1376), "  ")</f>
        <v xml:space="preserve">  </v>
      </c>
      <c r="H1374" s="44" t="str">
        <f>IFERROR(AVERAGE(Data!H1376), "  ")</f>
        <v xml:space="preserve">  </v>
      </c>
      <c r="I1374" s="44" t="str">
        <f>IFERROR(AVERAGE(Data!I1376), "  ")</f>
        <v xml:space="preserve">  </v>
      </c>
      <c r="J1374" s="42" t="str">
        <f>IFERROR(AVERAGE(Data!J1376), "  ")</f>
        <v xml:space="preserve">  </v>
      </c>
      <c r="K1374" s="44" t="str">
        <f>IFERROR(AVERAGE(Data!K1376), "  ")</f>
        <v xml:space="preserve">  </v>
      </c>
      <c r="L1374" s="45" t="str">
        <f>IFERROR(AVERAGE(Data!L1376), "  ")</f>
        <v xml:space="preserve">  </v>
      </c>
    </row>
    <row r="1375" spans="1:12" x14ac:dyDescent="0.2">
      <c r="A1375" s="43"/>
      <c r="B1375" s="42" t="str">
        <f>IFERROR(AVERAGE(Data!B1377), "  ")</f>
        <v xml:space="preserve">  </v>
      </c>
      <c r="C1375" s="42" t="str">
        <f>IFERROR(AVERAGE(Data!C1377), "  ")</f>
        <v xml:space="preserve">  </v>
      </c>
      <c r="D1375" s="42" t="str">
        <f>IFERROR(AVERAGE(Data!D1377), "  ")</f>
        <v xml:space="preserve">  </v>
      </c>
      <c r="E1375" s="42" t="str">
        <f>IFERROR(AVERAGE(Data!E1377), "  ")</f>
        <v xml:space="preserve">  </v>
      </c>
      <c r="F1375" s="42" t="str">
        <f>IFERROR(AVERAGE(Data!F1377), "  ")</f>
        <v xml:space="preserve">  </v>
      </c>
      <c r="G1375" s="42" t="str">
        <f>IFERROR(AVERAGE(Data!G1377), "  ")</f>
        <v xml:space="preserve">  </v>
      </c>
      <c r="H1375" s="44" t="str">
        <f>IFERROR(AVERAGE(Data!H1377), "  ")</f>
        <v xml:space="preserve">  </v>
      </c>
      <c r="I1375" s="44" t="str">
        <f>IFERROR(AVERAGE(Data!I1377), "  ")</f>
        <v xml:space="preserve">  </v>
      </c>
      <c r="J1375" s="42" t="str">
        <f>IFERROR(AVERAGE(Data!J1377), "  ")</f>
        <v xml:space="preserve">  </v>
      </c>
      <c r="K1375" s="44" t="str">
        <f>IFERROR(AVERAGE(Data!K1377), "  ")</f>
        <v xml:space="preserve">  </v>
      </c>
      <c r="L1375" s="45" t="str">
        <f>IFERROR(AVERAGE(Data!L1377), "  ")</f>
        <v xml:space="preserve">  </v>
      </c>
    </row>
    <row r="1376" spans="1:12" x14ac:dyDescent="0.2">
      <c r="A1376" s="43"/>
      <c r="B1376" s="42" t="str">
        <f>IFERROR(AVERAGE(Data!B1378), "  ")</f>
        <v xml:space="preserve">  </v>
      </c>
      <c r="C1376" s="42" t="str">
        <f>IFERROR(AVERAGE(Data!C1378), "  ")</f>
        <v xml:space="preserve">  </v>
      </c>
      <c r="D1376" s="42" t="str">
        <f>IFERROR(AVERAGE(Data!D1378), "  ")</f>
        <v xml:space="preserve">  </v>
      </c>
      <c r="E1376" s="42" t="str">
        <f>IFERROR(AVERAGE(Data!E1378), "  ")</f>
        <v xml:space="preserve">  </v>
      </c>
      <c r="F1376" s="42" t="str">
        <f>IFERROR(AVERAGE(Data!F1378), "  ")</f>
        <v xml:space="preserve">  </v>
      </c>
      <c r="G1376" s="42" t="str">
        <f>IFERROR(AVERAGE(Data!G1378), "  ")</f>
        <v xml:space="preserve">  </v>
      </c>
      <c r="H1376" s="44" t="str">
        <f>IFERROR(AVERAGE(Data!H1378), "  ")</f>
        <v xml:space="preserve">  </v>
      </c>
      <c r="I1376" s="44" t="str">
        <f>IFERROR(AVERAGE(Data!I1378), "  ")</f>
        <v xml:space="preserve">  </v>
      </c>
      <c r="J1376" s="42" t="str">
        <f>IFERROR(AVERAGE(Data!J1378), "  ")</f>
        <v xml:space="preserve">  </v>
      </c>
      <c r="K1376" s="44" t="str">
        <f>IFERROR(AVERAGE(Data!K1378), "  ")</f>
        <v xml:space="preserve">  </v>
      </c>
      <c r="L1376" s="45" t="str">
        <f>IFERROR(AVERAGE(Data!L1378), "  ")</f>
        <v xml:space="preserve">  </v>
      </c>
    </row>
    <row r="1377" spans="1:12" x14ac:dyDescent="0.2">
      <c r="A1377" s="43"/>
      <c r="B1377" s="42" t="str">
        <f>IFERROR(AVERAGE(Data!B1379), "  ")</f>
        <v xml:space="preserve">  </v>
      </c>
      <c r="C1377" s="42" t="str">
        <f>IFERROR(AVERAGE(Data!C1379), "  ")</f>
        <v xml:space="preserve">  </v>
      </c>
      <c r="D1377" s="42" t="str">
        <f>IFERROR(AVERAGE(Data!D1379), "  ")</f>
        <v xml:space="preserve">  </v>
      </c>
      <c r="E1377" s="42" t="str">
        <f>IFERROR(AVERAGE(Data!E1379), "  ")</f>
        <v xml:space="preserve">  </v>
      </c>
      <c r="F1377" s="42" t="str">
        <f>IFERROR(AVERAGE(Data!F1379), "  ")</f>
        <v xml:space="preserve">  </v>
      </c>
      <c r="G1377" s="42" t="str">
        <f>IFERROR(AVERAGE(Data!G1379), "  ")</f>
        <v xml:space="preserve">  </v>
      </c>
      <c r="H1377" s="44" t="str">
        <f>IFERROR(AVERAGE(Data!H1379), "  ")</f>
        <v xml:space="preserve">  </v>
      </c>
      <c r="I1377" s="44" t="str">
        <f>IFERROR(AVERAGE(Data!I1379), "  ")</f>
        <v xml:space="preserve">  </v>
      </c>
      <c r="J1377" s="42" t="str">
        <f>IFERROR(AVERAGE(Data!J1379), "  ")</f>
        <v xml:space="preserve">  </v>
      </c>
      <c r="K1377" s="44" t="str">
        <f>IFERROR(AVERAGE(Data!K1379), "  ")</f>
        <v xml:space="preserve">  </v>
      </c>
      <c r="L1377" s="45" t="str">
        <f>IFERROR(AVERAGE(Data!L1379), "  ")</f>
        <v xml:space="preserve">  </v>
      </c>
    </row>
    <row r="1378" spans="1:12" x14ac:dyDescent="0.2">
      <c r="A1378" s="43"/>
      <c r="B1378" s="42" t="str">
        <f>IFERROR(AVERAGE(Data!B1380), "  ")</f>
        <v xml:space="preserve">  </v>
      </c>
      <c r="C1378" s="42" t="str">
        <f>IFERROR(AVERAGE(Data!C1380), "  ")</f>
        <v xml:space="preserve">  </v>
      </c>
      <c r="D1378" s="42" t="str">
        <f>IFERROR(AVERAGE(Data!D1380), "  ")</f>
        <v xml:space="preserve">  </v>
      </c>
      <c r="E1378" s="42" t="str">
        <f>IFERROR(AVERAGE(Data!E1380), "  ")</f>
        <v xml:space="preserve">  </v>
      </c>
      <c r="F1378" s="42" t="str">
        <f>IFERROR(AVERAGE(Data!F1380), "  ")</f>
        <v xml:space="preserve">  </v>
      </c>
      <c r="G1378" s="42" t="str">
        <f>IFERROR(AVERAGE(Data!G1380), "  ")</f>
        <v xml:space="preserve">  </v>
      </c>
      <c r="H1378" s="44" t="str">
        <f>IFERROR(AVERAGE(Data!H1380), "  ")</f>
        <v xml:space="preserve">  </v>
      </c>
      <c r="I1378" s="44" t="str">
        <f>IFERROR(AVERAGE(Data!I1380), "  ")</f>
        <v xml:space="preserve">  </v>
      </c>
      <c r="J1378" s="42" t="str">
        <f>IFERROR(AVERAGE(Data!J1380), "  ")</f>
        <v xml:space="preserve">  </v>
      </c>
      <c r="K1378" s="44" t="str">
        <f>IFERROR(AVERAGE(Data!K1380), "  ")</f>
        <v xml:space="preserve">  </v>
      </c>
      <c r="L1378" s="45" t="str">
        <f>IFERROR(AVERAGE(Data!L1380), "  ")</f>
        <v xml:space="preserve">  </v>
      </c>
    </row>
    <row r="1379" spans="1:12" x14ac:dyDescent="0.2">
      <c r="A1379" s="43"/>
      <c r="B1379" s="42" t="str">
        <f>IFERROR(AVERAGE(Data!B1381), "  ")</f>
        <v xml:space="preserve">  </v>
      </c>
      <c r="C1379" s="42" t="str">
        <f>IFERROR(AVERAGE(Data!C1381), "  ")</f>
        <v xml:space="preserve">  </v>
      </c>
      <c r="D1379" s="42" t="str">
        <f>IFERROR(AVERAGE(Data!D1381), "  ")</f>
        <v xml:space="preserve">  </v>
      </c>
      <c r="E1379" s="42" t="str">
        <f>IFERROR(AVERAGE(Data!E1381), "  ")</f>
        <v xml:space="preserve">  </v>
      </c>
      <c r="F1379" s="42" t="str">
        <f>IFERROR(AVERAGE(Data!F1381), "  ")</f>
        <v xml:space="preserve">  </v>
      </c>
      <c r="G1379" s="42" t="str">
        <f>IFERROR(AVERAGE(Data!G1381), "  ")</f>
        <v xml:space="preserve">  </v>
      </c>
      <c r="H1379" s="44" t="str">
        <f>IFERROR(AVERAGE(Data!H1381), "  ")</f>
        <v xml:space="preserve">  </v>
      </c>
      <c r="I1379" s="44" t="str">
        <f>IFERROR(AVERAGE(Data!I1381), "  ")</f>
        <v xml:space="preserve">  </v>
      </c>
      <c r="J1379" s="42" t="str">
        <f>IFERROR(AVERAGE(Data!J1381), "  ")</f>
        <v xml:space="preserve">  </v>
      </c>
      <c r="K1379" s="44" t="str">
        <f>IFERROR(AVERAGE(Data!K1381), "  ")</f>
        <v xml:space="preserve">  </v>
      </c>
      <c r="L1379" s="45" t="str">
        <f>IFERROR(AVERAGE(Data!L1381), "  ")</f>
        <v xml:space="preserve">  </v>
      </c>
    </row>
    <row r="1380" spans="1:12" x14ac:dyDescent="0.2">
      <c r="A1380" s="43"/>
      <c r="B1380" s="42" t="str">
        <f>IFERROR(AVERAGE(Data!B1382), "  ")</f>
        <v xml:space="preserve">  </v>
      </c>
      <c r="C1380" s="42" t="str">
        <f>IFERROR(AVERAGE(Data!C1382), "  ")</f>
        <v xml:space="preserve">  </v>
      </c>
      <c r="D1380" s="42" t="str">
        <f>IFERROR(AVERAGE(Data!D1382), "  ")</f>
        <v xml:space="preserve">  </v>
      </c>
      <c r="E1380" s="42" t="str">
        <f>IFERROR(AVERAGE(Data!E1382), "  ")</f>
        <v xml:space="preserve">  </v>
      </c>
      <c r="F1380" s="42" t="str">
        <f>IFERROR(AVERAGE(Data!F1382), "  ")</f>
        <v xml:space="preserve">  </v>
      </c>
      <c r="G1380" s="42" t="str">
        <f>IFERROR(AVERAGE(Data!G1382), "  ")</f>
        <v xml:space="preserve">  </v>
      </c>
      <c r="H1380" s="44" t="str">
        <f>IFERROR(AVERAGE(Data!H1382), "  ")</f>
        <v xml:space="preserve">  </v>
      </c>
      <c r="I1380" s="44" t="str">
        <f>IFERROR(AVERAGE(Data!I1382), "  ")</f>
        <v xml:space="preserve">  </v>
      </c>
      <c r="J1380" s="42" t="str">
        <f>IFERROR(AVERAGE(Data!J1382), "  ")</f>
        <v xml:space="preserve">  </v>
      </c>
      <c r="K1380" s="44" t="str">
        <f>IFERROR(AVERAGE(Data!K1382), "  ")</f>
        <v xml:space="preserve">  </v>
      </c>
      <c r="L1380" s="45" t="str">
        <f>IFERROR(AVERAGE(Data!L1382), "  ")</f>
        <v xml:space="preserve">  </v>
      </c>
    </row>
    <row r="1381" spans="1:12" x14ac:dyDescent="0.2">
      <c r="A1381" s="43"/>
      <c r="B1381" s="42" t="str">
        <f>IFERROR(AVERAGE(Data!B1383), "  ")</f>
        <v xml:space="preserve">  </v>
      </c>
      <c r="C1381" s="42" t="str">
        <f>IFERROR(AVERAGE(Data!C1383), "  ")</f>
        <v xml:space="preserve">  </v>
      </c>
      <c r="D1381" s="42" t="str">
        <f>IFERROR(AVERAGE(Data!D1383), "  ")</f>
        <v xml:space="preserve">  </v>
      </c>
      <c r="E1381" s="42" t="str">
        <f>IFERROR(AVERAGE(Data!E1383), "  ")</f>
        <v xml:space="preserve">  </v>
      </c>
      <c r="F1381" s="42" t="str">
        <f>IFERROR(AVERAGE(Data!F1383), "  ")</f>
        <v xml:space="preserve">  </v>
      </c>
      <c r="G1381" s="42" t="str">
        <f>IFERROR(AVERAGE(Data!G1383), "  ")</f>
        <v xml:space="preserve">  </v>
      </c>
      <c r="H1381" s="44" t="str">
        <f>IFERROR(AVERAGE(Data!H1383), "  ")</f>
        <v xml:space="preserve">  </v>
      </c>
      <c r="I1381" s="44" t="str">
        <f>IFERROR(AVERAGE(Data!I1383), "  ")</f>
        <v xml:space="preserve">  </v>
      </c>
      <c r="J1381" s="42" t="str">
        <f>IFERROR(AVERAGE(Data!J1383), "  ")</f>
        <v xml:space="preserve">  </v>
      </c>
      <c r="K1381" s="44" t="str">
        <f>IFERROR(AVERAGE(Data!K1383), "  ")</f>
        <v xml:space="preserve">  </v>
      </c>
      <c r="L1381" s="45" t="str">
        <f>IFERROR(AVERAGE(Data!L1383), "  ")</f>
        <v xml:space="preserve">  </v>
      </c>
    </row>
    <row r="1382" spans="1:12" x14ac:dyDescent="0.2">
      <c r="A1382" s="43"/>
      <c r="B1382" s="42" t="str">
        <f>IFERROR(AVERAGE(Data!B1384), "  ")</f>
        <v xml:space="preserve">  </v>
      </c>
      <c r="C1382" s="42" t="str">
        <f>IFERROR(AVERAGE(Data!C1384), "  ")</f>
        <v xml:space="preserve">  </v>
      </c>
      <c r="D1382" s="42" t="str">
        <f>IFERROR(AVERAGE(Data!D1384), "  ")</f>
        <v xml:space="preserve">  </v>
      </c>
      <c r="E1382" s="42" t="str">
        <f>IFERROR(AVERAGE(Data!E1384), "  ")</f>
        <v xml:space="preserve">  </v>
      </c>
      <c r="F1382" s="42" t="str">
        <f>IFERROR(AVERAGE(Data!F1384), "  ")</f>
        <v xml:space="preserve">  </v>
      </c>
      <c r="G1382" s="42" t="str">
        <f>IFERROR(AVERAGE(Data!G1384), "  ")</f>
        <v xml:space="preserve">  </v>
      </c>
      <c r="H1382" s="44" t="str">
        <f>IFERROR(AVERAGE(Data!H1384), "  ")</f>
        <v xml:space="preserve">  </v>
      </c>
      <c r="I1382" s="44" t="str">
        <f>IFERROR(AVERAGE(Data!I1384), "  ")</f>
        <v xml:space="preserve">  </v>
      </c>
      <c r="J1382" s="42" t="str">
        <f>IFERROR(AVERAGE(Data!J1384), "  ")</f>
        <v xml:space="preserve">  </v>
      </c>
      <c r="K1382" s="44" t="str">
        <f>IFERROR(AVERAGE(Data!K1384), "  ")</f>
        <v xml:space="preserve">  </v>
      </c>
      <c r="L1382" s="45" t="str">
        <f>IFERROR(AVERAGE(Data!L1384), "  ")</f>
        <v xml:space="preserve">  </v>
      </c>
    </row>
    <row r="1383" spans="1:12" x14ac:dyDescent="0.2">
      <c r="A1383" s="43"/>
      <c r="B1383" s="42" t="str">
        <f>IFERROR(AVERAGE(Data!B1385), "  ")</f>
        <v xml:space="preserve">  </v>
      </c>
      <c r="C1383" s="42" t="str">
        <f>IFERROR(AVERAGE(Data!C1385), "  ")</f>
        <v xml:space="preserve">  </v>
      </c>
      <c r="D1383" s="42" t="str">
        <f>IFERROR(AVERAGE(Data!D1385), "  ")</f>
        <v xml:space="preserve">  </v>
      </c>
      <c r="E1383" s="42" t="str">
        <f>IFERROR(AVERAGE(Data!E1385), "  ")</f>
        <v xml:space="preserve">  </v>
      </c>
      <c r="F1383" s="42" t="str">
        <f>IFERROR(AVERAGE(Data!F1385), "  ")</f>
        <v xml:space="preserve">  </v>
      </c>
      <c r="G1383" s="42" t="str">
        <f>IFERROR(AVERAGE(Data!G1385), "  ")</f>
        <v xml:space="preserve">  </v>
      </c>
      <c r="H1383" s="44" t="str">
        <f>IFERROR(AVERAGE(Data!H1385), "  ")</f>
        <v xml:space="preserve">  </v>
      </c>
      <c r="I1383" s="44" t="str">
        <f>IFERROR(AVERAGE(Data!I1385), "  ")</f>
        <v xml:space="preserve">  </v>
      </c>
      <c r="J1383" s="42" t="str">
        <f>IFERROR(AVERAGE(Data!J1385), "  ")</f>
        <v xml:space="preserve">  </v>
      </c>
      <c r="K1383" s="44" t="str">
        <f>IFERROR(AVERAGE(Data!K1385), "  ")</f>
        <v xml:space="preserve">  </v>
      </c>
      <c r="L1383" s="45" t="str">
        <f>IFERROR(AVERAGE(Data!L1385), "  ")</f>
        <v xml:space="preserve">  </v>
      </c>
    </row>
    <row r="1384" spans="1:12" x14ac:dyDescent="0.2">
      <c r="A1384" s="43"/>
      <c r="B1384" s="42" t="str">
        <f>IFERROR(AVERAGE(Data!B1386), "  ")</f>
        <v xml:space="preserve">  </v>
      </c>
      <c r="C1384" s="42" t="str">
        <f>IFERROR(AVERAGE(Data!C1386), "  ")</f>
        <v xml:space="preserve">  </v>
      </c>
      <c r="D1384" s="42" t="str">
        <f>IFERROR(AVERAGE(Data!D1386), "  ")</f>
        <v xml:space="preserve">  </v>
      </c>
      <c r="E1384" s="42" t="str">
        <f>IFERROR(AVERAGE(Data!E1386), "  ")</f>
        <v xml:space="preserve">  </v>
      </c>
      <c r="F1384" s="42" t="str">
        <f>IFERROR(AVERAGE(Data!F1386), "  ")</f>
        <v xml:space="preserve">  </v>
      </c>
      <c r="G1384" s="42" t="str">
        <f>IFERROR(AVERAGE(Data!G1386), "  ")</f>
        <v xml:space="preserve">  </v>
      </c>
      <c r="H1384" s="44" t="str">
        <f>IFERROR(AVERAGE(Data!H1386), "  ")</f>
        <v xml:space="preserve">  </v>
      </c>
      <c r="I1384" s="44" t="str">
        <f>IFERROR(AVERAGE(Data!I1386), "  ")</f>
        <v xml:space="preserve">  </v>
      </c>
      <c r="J1384" s="42" t="str">
        <f>IFERROR(AVERAGE(Data!J1386), "  ")</f>
        <v xml:space="preserve">  </v>
      </c>
      <c r="K1384" s="44" t="str">
        <f>IFERROR(AVERAGE(Data!K1386), "  ")</f>
        <v xml:space="preserve">  </v>
      </c>
      <c r="L1384" s="45" t="str">
        <f>IFERROR(AVERAGE(Data!L1386), "  ")</f>
        <v xml:space="preserve">  </v>
      </c>
    </row>
    <row r="1385" spans="1:12" x14ac:dyDescent="0.2">
      <c r="A1385" s="43"/>
      <c r="B1385" s="42" t="str">
        <f>IFERROR(AVERAGE(Data!B1387), "  ")</f>
        <v xml:space="preserve">  </v>
      </c>
      <c r="C1385" s="42" t="str">
        <f>IFERROR(AVERAGE(Data!C1387), "  ")</f>
        <v xml:space="preserve">  </v>
      </c>
      <c r="D1385" s="42" t="str">
        <f>IFERROR(AVERAGE(Data!D1387), "  ")</f>
        <v xml:space="preserve">  </v>
      </c>
      <c r="E1385" s="42" t="str">
        <f>IFERROR(AVERAGE(Data!E1387), "  ")</f>
        <v xml:space="preserve">  </v>
      </c>
      <c r="F1385" s="42" t="str">
        <f>IFERROR(AVERAGE(Data!F1387), "  ")</f>
        <v xml:space="preserve">  </v>
      </c>
      <c r="G1385" s="42" t="str">
        <f>IFERROR(AVERAGE(Data!G1387), "  ")</f>
        <v xml:space="preserve">  </v>
      </c>
      <c r="H1385" s="44" t="str">
        <f>IFERROR(AVERAGE(Data!H1387), "  ")</f>
        <v xml:space="preserve">  </v>
      </c>
      <c r="I1385" s="44" t="str">
        <f>IFERROR(AVERAGE(Data!I1387), "  ")</f>
        <v xml:space="preserve">  </v>
      </c>
      <c r="J1385" s="42" t="str">
        <f>IFERROR(AVERAGE(Data!J1387), "  ")</f>
        <v xml:space="preserve">  </v>
      </c>
      <c r="K1385" s="44" t="str">
        <f>IFERROR(AVERAGE(Data!K1387), "  ")</f>
        <v xml:space="preserve">  </v>
      </c>
      <c r="L1385" s="45" t="str">
        <f>IFERROR(AVERAGE(Data!L1387), "  ")</f>
        <v xml:space="preserve">  </v>
      </c>
    </row>
    <row r="1386" spans="1:12" x14ac:dyDescent="0.2">
      <c r="A1386" s="43"/>
      <c r="B1386" s="42" t="str">
        <f>IFERROR(AVERAGE(Data!B1388), "  ")</f>
        <v xml:space="preserve">  </v>
      </c>
      <c r="C1386" s="42" t="str">
        <f>IFERROR(AVERAGE(Data!C1388), "  ")</f>
        <v xml:space="preserve">  </v>
      </c>
      <c r="D1386" s="42" t="str">
        <f>IFERROR(AVERAGE(Data!D1388), "  ")</f>
        <v xml:space="preserve">  </v>
      </c>
      <c r="E1386" s="42" t="str">
        <f>IFERROR(AVERAGE(Data!E1388), "  ")</f>
        <v xml:space="preserve">  </v>
      </c>
      <c r="F1386" s="42" t="str">
        <f>IFERROR(AVERAGE(Data!F1388), "  ")</f>
        <v xml:space="preserve">  </v>
      </c>
      <c r="G1386" s="42" t="str">
        <f>IFERROR(AVERAGE(Data!G1388), "  ")</f>
        <v xml:space="preserve">  </v>
      </c>
      <c r="H1386" s="44" t="str">
        <f>IFERROR(AVERAGE(Data!H1388), "  ")</f>
        <v xml:space="preserve">  </v>
      </c>
      <c r="I1386" s="44" t="str">
        <f>IFERROR(AVERAGE(Data!I1388), "  ")</f>
        <v xml:space="preserve">  </v>
      </c>
      <c r="J1386" s="42" t="str">
        <f>IFERROR(AVERAGE(Data!J1388), "  ")</f>
        <v xml:space="preserve">  </v>
      </c>
      <c r="K1386" s="44" t="str">
        <f>IFERROR(AVERAGE(Data!K1388), "  ")</f>
        <v xml:space="preserve">  </v>
      </c>
      <c r="L1386" s="45" t="str">
        <f>IFERROR(AVERAGE(Data!L1388), "  ")</f>
        <v xml:space="preserve">  </v>
      </c>
    </row>
    <row r="1387" spans="1:12" x14ac:dyDescent="0.2">
      <c r="A1387" s="43"/>
      <c r="B1387" s="42" t="str">
        <f>IFERROR(AVERAGE(Data!B1389), "  ")</f>
        <v xml:space="preserve">  </v>
      </c>
      <c r="C1387" s="42" t="str">
        <f>IFERROR(AVERAGE(Data!C1389), "  ")</f>
        <v xml:space="preserve">  </v>
      </c>
      <c r="D1387" s="42" t="str">
        <f>IFERROR(AVERAGE(Data!D1389), "  ")</f>
        <v xml:space="preserve">  </v>
      </c>
      <c r="E1387" s="42" t="str">
        <f>IFERROR(AVERAGE(Data!E1389), "  ")</f>
        <v xml:space="preserve">  </v>
      </c>
      <c r="F1387" s="42" t="str">
        <f>IFERROR(AVERAGE(Data!F1389), "  ")</f>
        <v xml:space="preserve">  </v>
      </c>
      <c r="G1387" s="42" t="str">
        <f>IFERROR(AVERAGE(Data!G1389), "  ")</f>
        <v xml:space="preserve">  </v>
      </c>
      <c r="H1387" s="44" t="str">
        <f>IFERROR(AVERAGE(Data!H1389), "  ")</f>
        <v xml:space="preserve">  </v>
      </c>
      <c r="I1387" s="44" t="str">
        <f>IFERROR(AVERAGE(Data!I1389), "  ")</f>
        <v xml:space="preserve">  </v>
      </c>
      <c r="J1387" s="42" t="str">
        <f>IFERROR(AVERAGE(Data!J1389), "  ")</f>
        <v xml:space="preserve">  </v>
      </c>
      <c r="K1387" s="44" t="str">
        <f>IFERROR(AVERAGE(Data!K1389), "  ")</f>
        <v xml:space="preserve">  </v>
      </c>
      <c r="L1387" s="45" t="str">
        <f>IFERROR(AVERAGE(Data!L1389), "  ")</f>
        <v xml:space="preserve">  </v>
      </c>
    </row>
    <row r="1388" spans="1:12" x14ac:dyDescent="0.2">
      <c r="A1388" s="43"/>
      <c r="B1388" s="42" t="str">
        <f>IFERROR(AVERAGE(Data!B1390), "  ")</f>
        <v xml:space="preserve">  </v>
      </c>
      <c r="C1388" s="42" t="str">
        <f>IFERROR(AVERAGE(Data!C1390), "  ")</f>
        <v xml:space="preserve">  </v>
      </c>
      <c r="D1388" s="42" t="str">
        <f>IFERROR(AVERAGE(Data!D1390), "  ")</f>
        <v xml:space="preserve">  </v>
      </c>
      <c r="E1388" s="42" t="str">
        <f>IFERROR(AVERAGE(Data!E1390), "  ")</f>
        <v xml:space="preserve">  </v>
      </c>
      <c r="F1388" s="42" t="str">
        <f>IFERROR(AVERAGE(Data!F1390), "  ")</f>
        <v xml:space="preserve">  </v>
      </c>
      <c r="G1388" s="42" t="str">
        <f>IFERROR(AVERAGE(Data!G1390), "  ")</f>
        <v xml:space="preserve">  </v>
      </c>
      <c r="H1388" s="44" t="str">
        <f>IFERROR(AVERAGE(Data!H1390), "  ")</f>
        <v xml:space="preserve">  </v>
      </c>
      <c r="I1388" s="44" t="str">
        <f>IFERROR(AVERAGE(Data!I1390), "  ")</f>
        <v xml:space="preserve">  </v>
      </c>
      <c r="J1388" s="42" t="str">
        <f>IFERROR(AVERAGE(Data!J1390), "  ")</f>
        <v xml:space="preserve">  </v>
      </c>
      <c r="K1388" s="44" t="str">
        <f>IFERROR(AVERAGE(Data!K1390), "  ")</f>
        <v xml:space="preserve">  </v>
      </c>
      <c r="L1388" s="45" t="str">
        <f>IFERROR(AVERAGE(Data!L1390), "  ")</f>
        <v xml:space="preserve">  </v>
      </c>
    </row>
    <row r="1389" spans="1:12" x14ac:dyDescent="0.2">
      <c r="A1389" s="43"/>
      <c r="B1389" s="42" t="str">
        <f>IFERROR(AVERAGE(Data!B1391), "  ")</f>
        <v xml:space="preserve">  </v>
      </c>
      <c r="C1389" s="42" t="str">
        <f>IFERROR(AVERAGE(Data!C1391), "  ")</f>
        <v xml:space="preserve">  </v>
      </c>
      <c r="D1389" s="42" t="str">
        <f>IFERROR(AVERAGE(Data!D1391), "  ")</f>
        <v xml:space="preserve">  </v>
      </c>
      <c r="E1389" s="42" t="str">
        <f>IFERROR(AVERAGE(Data!E1391), "  ")</f>
        <v xml:space="preserve">  </v>
      </c>
      <c r="F1389" s="42" t="str">
        <f>IFERROR(AVERAGE(Data!F1391), "  ")</f>
        <v xml:space="preserve">  </v>
      </c>
      <c r="G1389" s="42" t="str">
        <f>IFERROR(AVERAGE(Data!G1391), "  ")</f>
        <v xml:space="preserve">  </v>
      </c>
      <c r="H1389" s="44" t="str">
        <f>IFERROR(AVERAGE(Data!H1391), "  ")</f>
        <v xml:space="preserve">  </v>
      </c>
      <c r="I1389" s="44" t="str">
        <f>IFERROR(AVERAGE(Data!I1391), "  ")</f>
        <v xml:space="preserve">  </v>
      </c>
      <c r="J1389" s="42" t="str">
        <f>IFERROR(AVERAGE(Data!J1391), "  ")</f>
        <v xml:space="preserve">  </v>
      </c>
      <c r="K1389" s="44" t="str">
        <f>IFERROR(AVERAGE(Data!K1391), "  ")</f>
        <v xml:space="preserve">  </v>
      </c>
      <c r="L1389" s="45" t="str">
        <f>IFERROR(AVERAGE(Data!L1391), "  ")</f>
        <v xml:space="preserve">  </v>
      </c>
    </row>
    <row r="1390" spans="1:12" x14ac:dyDescent="0.2">
      <c r="A1390" s="43"/>
      <c r="B1390" s="42" t="str">
        <f>IFERROR(AVERAGE(Data!B1392), "  ")</f>
        <v xml:space="preserve">  </v>
      </c>
      <c r="C1390" s="42" t="str">
        <f>IFERROR(AVERAGE(Data!C1392), "  ")</f>
        <v xml:space="preserve">  </v>
      </c>
      <c r="D1390" s="42" t="str">
        <f>IFERROR(AVERAGE(Data!D1392), "  ")</f>
        <v xml:space="preserve">  </v>
      </c>
      <c r="E1390" s="42" t="str">
        <f>IFERROR(AVERAGE(Data!E1392), "  ")</f>
        <v xml:space="preserve">  </v>
      </c>
      <c r="F1390" s="42" t="str">
        <f>IFERROR(AVERAGE(Data!F1392), "  ")</f>
        <v xml:space="preserve">  </v>
      </c>
      <c r="G1390" s="42" t="str">
        <f>IFERROR(AVERAGE(Data!G1392), "  ")</f>
        <v xml:space="preserve">  </v>
      </c>
      <c r="H1390" s="44" t="str">
        <f>IFERROR(AVERAGE(Data!H1392), "  ")</f>
        <v xml:space="preserve">  </v>
      </c>
      <c r="I1390" s="44" t="str">
        <f>IFERROR(AVERAGE(Data!I1392), "  ")</f>
        <v xml:space="preserve">  </v>
      </c>
      <c r="J1390" s="42" t="str">
        <f>IFERROR(AVERAGE(Data!J1392), "  ")</f>
        <v xml:space="preserve">  </v>
      </c>
      <c r="K1390" s="44" t="str">
        <f>IFERROR(AVERAGE(Data!K1392), "  ")</f>
        <v xml:space="preserve">  </v>
      </c>
      <c r="L1390" s="45" t="str">
        <f>IFERROR(AVERAGE(Data!L1392), "  ")</f>
        <v xml:space="preserve">  </v>
      </c>
    </row>
    <row r="1391" spans="1:12" x14ac:dyDescent="0.2">
      <c r="A1391" s="43"/>
      <c r="B1391" s="42" t="str">
        <f>IFERROR(AVERAGE(Data!B1393), "  ")</f>
        <v xml:space="preserve">  </v>
      </c>
      <c r="C1391" s="42" t="str">
        <f>IFERROR(AVERAGE(Data!C1393), "  ")</f>
        <v xml:space="preserve">  </v>
      </c>
      <c r="D1391" s="42" t="str">
        <f>IFERROR(AVERAGE(Data!D1393), "  ")</f>
        <v xml:space="preserve">  </v>
      </c>
      <c r="E1391" s="42" t="str">
        <f>IFERROR(AVERAGE(Data!E1393), "  ")</f>
        <v xml:space="preserve">  </v>
      </c>
      <c r="F1391" s="42" t="str">
        <f>IFERROR(AVERAGE(Data!F1393), "  ")</f>
        <v xml:space="preserve">  </v>
      </c>
      <c r="G1391" s="42" t="str">
        <f>IFERROR(AVERAGE(Data!G1393), "  ")</f>
        <v xml:space="preserve">  </v>
      </c>
      <c r="H1391" s="44" t="str">
        <f>IFERROR(AVERAGE(Data!H1393), "  ")</f>
        <v xml:space="preserve">  </v>
      </c>
      <c r="I1391" s="44" t="str">
        <f>IFERROR(AVERAGE(Data!I1393), "  ")</f>
        <v xml:space="preserve">  </v>
      </c>
      <c r="J1391" s="42" t="str">
        <f>IFERROR(AVERAGE(Data!J1393), "  ")</f>
        <v xml:space="preserve">  </v>
      </c>
      <c r="K1391" s="44" t="str">
        <f>IFERROR(AVERAGE(Data!K1393), "  ")</f>
        <v xml:space="preserve">  </v>
      </c>
      <c r="L1391" s="45" t="str">
        <f>IFERROR(AVERAGE(Data!L1393), "  ")</f>
        <v xml:space="preserve">  </v>
      </c>
    </row>
    <row r="1392" spans="1:12" x14ac:dyDescent="0.2">
      <c r="A1392" s="43"/>
      <c r="B1392" s="42" t="str">
        <f>IFERROR(AVERAGE(Data!B1394), "  ")</f>
        <v xml:space="preserve">  </v>
      </c>
      <c r="C1392" s="42" t="str">
        <f>IFERROR(AVERAGE(Data!C1394), "  ")</f>
        <v xml:space="preserve">  </v>
      </c>
      <c r="D1392" s="42" t="str">
        <f>IFERROR(AVERAGE(Data!D1394), "  ")</f>
        <v xml:space="preserve">  </v>
      </c>
      <c r="E1392" s="42" t="str">
        <f>IFERROR(AVERAGE(Data!E1394), "  ")</f>
        <v xml:space="preserve">  </v>
      </c>
      <c r="F1392" s="42" t="str">
        <f>IFERROR(AVERAGE(Data!F1394), "  ")</f>
        <v xml:space="preserve">  </v>
      </c>
      <c r="G1392" s="42" t="str">
        <f>IFERROR(AVERAGE(Data!G1394), "  ")</f>
        <v xml:space="preserve">  </v>
      </c>
      <c r="H1392" s="44" t="str">
        <f>IFERROR(AVERAGE(Data!H1394), "  ")</f>
        <v xml:space="preserve">  </v>
      </c>
      <c r="I1392" s="44" t="str">
        <f>IFERROR(AVERAGE(Data!I1394), "  ")</f>
        <v xml:space="preserve">  </v>
      </c>
      <c r="J1392" s="42" t="str">
        <f>IFERROR(AVERAGE(Data!J1394), "  ")</f>
        <v xml:space="preserve">  </v>
      </c>
      <c r="K1392" s="44" t="str">
        <f>IFERROR(AVERAGE(Data!K1394), "  ")</f>
        <v xml:space="preserve">  </v>
      </c>
      <c r="L1392" s="45" t="str">
        <f>IFERROR(AVERAGE(Data!L1394), "  ")</f>
        <v xml:space="preserve">  </v>
      </c>
    </row>
    <row r="1393" spans="1:12" x14ac:dyDescent="0.2">
      <c r="A1393" s="43"/>
      <c r="B1393" s="42" t="str">
        <f>IFERROR(AVERAGE(Data!B1395), "  ")</f>
        <v xml:space="preserve">  </v>
      </c>
      <c r="C1393" s="42" t="str">
        <f>IFERROR(AVERAGE(Data!C1395), "  ")</f>
        <v xml:space="preserve">  </v>
      </c>
      <c r="D1393" s="42" t="str">
        <f>IFERROR(AVERAGE(Data!D1395), "  ")</f>
        <v xml:space="preserve">  </v>
      </c>
      <c r="E1393" s="42" t="str">
        <f>IFERROR(AVERAGE(Data!E1395), "  ")</f>
        <v xml:space="preserve">  </v>
      </c>
      <c r="F1393" s="42" t="str">
        <f>IFERROR(AVERAGE(Data!F1395), "  ")</f>
        <v xml:space="preserve">  </v>
      </c>
      <c r="G1393" s="42" t="str">
        <f>IFERROR(AVERAGE(Data!G1395), "  ")</f>
        <v xml:space="preserve">  </v>
      </c>
      <c r="H1393" s="44" t="str">
        <f>IFERROR(AVERAGE(Data!H1395), "  ")</f>
        <v xml:space="preserve">  </v>
      </c>
      <c r="I1393" s="44" t="str">
        <f>IFERROR(AVERAGE(Data!I1395), "  ")</f>
        <v xml:space="preserve">  </v>
      </c>
      <c r="J1393" s="42" t="str">
        <f>IFERROR(AVERAGE(Data!J1395), "  ")</f>
        <v xml:space="preserve">  </v>
      </c>
      <c r="K1393" s="44" t="str">
        <f>IFERROR(AVERAGE(Data!K1395), "  ")</f>
        <v xml:space="preserve">  </v>
      </c>
      <c r="L1393" s="45" t="str">
        <f>IFERROR(AVERAGE(Data!L1395), "  ")</f>
        <v xml:space="preserve">  </v>
      </c>
    </row>
    <row r="1394" spans="1:12" x14ac:dyDescent="0.2">
      <c r="A1394" s="43"/>
      <c r="B1394" s="42" t="str">
        <f>IFERROR(AVERAGE(Data!B1396), "  ")</f>
        <v xml:space="preserve">  </v>
      </c>
      <c r="C1394" s="42" t="str">
        <f>IFERROR(AVERAGE(Data!C1396), "  ")</f>
        <v xml:space="preserve">  </v>
      </c>
      <c r="D1394" s="42" t="str">
        <f>IFERROR(AVERAGE(Data!D1396), "  ")</f>
        <v xml:space="preserve">  </v>
      </c>
      <c r="E1394" s="42" t="str">
        <f>IFERROR(AVERAGE(Data!E1396), "  ")</f>
        <v xml:space="preserve">  </v>
      </c>
      <c r="F1394" s="42" t="str">
        <f>IFERROR(AVERAGE(Data!F1396), "  ")</f>
        <v xml:space="preserve">  </v>
      </c>
      <c r="G1394" s="42" t="str">
        <f>IFERROR(AVERAGE(Data!G1396), "  ")</f>
        <v xml:space="preserve">  </v>
      </c>
      <c r="H1394" s="44" t="str">
        <f>IFERROR(AVERAGE(Data!H1396), "  ")</f>
        <v xml:space="preserve">  </v>
      </c>
      <c r="I1394" s="44" t="str">
        <f>IFERROR(AVERAGE(Data!I1396), "  ")</f>
        <v xml:space="preserve">  </v>
      </c>
      <c r="J1394" s="42" t="str">
        <f>IFERROR(AVERAGE(Data!J1396), "  ")</f>
        <v xml:space="preserve">  </v>
      </c>
      <c r="K1394" s="44" t="str">
        <f>IFERROR(AVERAGE(Data!K1396), "  ")</f>
        <v xml:space="preserve">  </v>
      </c>
      <c r="L1394" s="45" t="str">
        <f>IFERROR(AVERAGE(Data!L1396), "  ")</f>
        <v xml:space="preserve">  </v>
      </c>
    </row>
    <row r="1395" spans="1:12" x14ac:dyDescent="0.2">
      <c r="A1395" s="43"/>
      <c r="B1395" s="42" t="str">
        <f>IFERROR(AVERAGE(Data!B1397), "  ")</f>
        <v xml:space="preserve">  </v>
      </c>
      <c r="C1395" s="42" t="str">
        <f>IFERROR(AVERAGE(Data!C1397), "  ")</f>
        <v xml:space="preserve">  </v>
      </c>
      <c r="D1395" s="42" t="str">
        <f>IFERROR(AVERAGE(Data!D1397), "  ")</f>
        <v xml:space="preserve">  </v>
      </c>
      <c r="E1395" s="42" t="str">
        <f>IFERROR(AVERAGE(Data!E1397), "  ")</f>
        <v xml:space="preserve">  </v>
      </c>
      <c r="F1395" s="42" t="str">
        <f>IFERROR(AVERAGE(Data!F1397), "  ")</f>
        <v xml:space="preserve">  </v>
      </c>
      <c r="G1395" s="42" t="str">
        <f>IFERROR(AVERAGE(Data!G1397), "  ")</f>
        <v xml:space="preserve">  </v>
      </c>
      <c r="H1395" s="44" t="str">
        <f>IFERROR(AVERAGE(Data!H1397), "  ")</f>
        <v xml:space="preserve">  </v>
      </c>
      <c r="I1395" s="44" t="str">
        <f>IFERROR(AVERAGE(Data!I1397), "  ")</f>
        <v xml:space="preserve">  </v>
      </c>
      <c r="J1395" s="42" t="str">
        <f>IFERROR(AVERAGE(Data!J1397), "  ")</f>
        <v xml:space="preserve">  </v>
      </c>
      <c r="K1395" s="44" t="str">
        <f>IFERROR(AVERAGE(Data!K1397), "  ")</f>
        <v xml:space="preserve">  </v>
      </c>
      <c r="L1395" s="45" t="str">
        <f>IFERROR(AVERAGE(Data!L1397), "  ")</f>
        <v xml:space="preserve">  </v>
      </c>
    </row>
    <row r="1396" spans="1:12" x14ac:dyDescent="0.2">
      <c r="A1396" s="43"/>
      <c r="B1396" s="42" t="str">
        <f>IFERROR(AVERAGE(Data!B1398), "  ")</f>
        <v xml:space="preserve">  </v>
      </c>
      <c r="C1396" s="42" t="str">
        <f>IFERROR(AVERAGE(Data!C1398), "  ")</f>
        <v xml:space="preserve">  </v>
      </c>
      <c r="D1396" s="42" t="str">
        <f>IFERROR(AVERAGE(Data!D1398), "  ")</f>
        <v xml:space="preserve">  </v>
      </c>
      <c r="E1396" s="42" t="str">
        <f>IFERROR(AVERAGE(Data!E1398), "  ")</f>
        <v xml:space="preserve">  </v>
      </c>
      <c r="F1396" s="42" t="str">
        <f>IFERROR(AVERAGE(Data!F1398), "  ")</f>
        <v xml:space="preserve">  </v>
      </c>
      <c r="G1396" s="42" t="str">
        <f>IFERROR(AVERAGE(Data!G1398), "  ")</f>
        <v xml:space="preserve">  </v>
      </c>
      <c r="H1396" s="44" t="str">
        <f>IFERROR(AVERAGE(Data!H1398), "  ")</f>
        <v xml:space="preserve">  </v>
      </c>
      <c r="I1396" s="44" t="str">
        <f>IFERROR(AVERAGE(Data!I1398), "  ")</f>
        <v xml:space="preserve">  </v>
      </c>
      <c r="J1396" s="42" t="str">
        <f>IFERROR(AVERAGE(Data!J1398), "  ")</f>
        <v xml:space="preserve">  </v>
      </c>
      <c r="K1396" s="44" t="str">
        <f>IFERROR(AVERAGE(Data!K1398), "  ")</f>
        <v xml:space="preserve">  </v>
      </c>
      <c r="L1396" s="45" t="str">
        <f>IFERROR(AVERAGE(Data!L1398), "  ")</f>
        <v xml:space="preserve">  </v>
      </c>
    </row>
    <row r="1397" spans="1:12" x14ac:dyDescent="0.2">
      <c r="A1397" s="43"/>
      <c r="B1397" s="42" t="str">
        <f>IFERROR(AVERAGE(Data!B1399), "  ")</f>
        <v xml:space="preserve">  </v>
      </c>
      <c r="C1397" s="42" t="str">
        <f>IFERROR(AVERAGE(Data!C1399), "  ")</f>
        <v xml:space="preserve">  </v>
      </c>
      <c r="D1397" s="42" t="str">
        <f>IFERROR(AVERAGE(Data!D1399), "  ")</f>
        <v xml:space="preserve">  </v>
      </c>
      <c r="E1397" s="42" t="str">
        <f>IFERROR(AVERAGE(Data!E1399), "  ")</f>
        <v xml:space="preserve">  </v>
      </c>
      <c r="F1397" s="42" t="str">
        <f>IFERROR(AVERAGE(Data!F1399), "  ")</f>
        <v xml:space="preserve">  </v>
      </c>
      <c r="G1397" s="42" t="str">
        <f>IFERROR(AVERAGE(Data!G1399), "  ")</f>
        <v xml:space="preserve">  </v>
      </c>
      <c r="H1397" s="44" t="str">
        <f>IFERROR(AVERAGE(Data!H1399), "  ")</f>
        <v xml:space="preserve">  </v>
      </c>
      <c r="I1397" s="44" t="str">
        <f>IFERROR(AVERAGE(Data!I1399), "  ")</f>
        <v xml:space="preserve">  </v>
      </c>
      <c r="J1397" s="42" t="str">
        <f>IFERROR(AVERAGE(Data!J1399), "  ")</f>
        <v xml:space="preserve">  </v>
      </c>
      <c r="K1397" s="44" t="str">
        <f>IFERROR(AVERAGE(Data!K1399), "  ")</f>
        <v xml:space="preserve">  </v>
      </c>
      <c r="L1397" s="45" t="str">
        <f>IFERROR(AVERAGE(Data!L1399), "  ")</f>
        <v xml:space="preserve">  </v>
      </c>
    </row>
    <row r="1398" spans="1:12" x14ac:dyDescent="0.2">
      <c r="A1398" s="43"/>
      <c r="B1398" s="42" t="str">
        <f>IFERROR(AVERAGE(Data!B1400), "  ")</f>
        <v xml:space="preserve">  </v>
      </c>
      <c r="C1398" s="42" t="str">
        <f>IFERROR(AVERAGE(Data!C1400), "  ")</f>
        <v xml:space="preserve">  </v>
      </c>
      <c r="D1398" s="42" t="str">
        <f>IFERROR(AVERAGE(Data!D1400), "  ")</f>
        <v xml:space="preserve">  </v>
      </c>
      <c r="E1398" s="42" t="str">
        <f>IFERROR(AVERAGE(Data!E1400), "  ")</f>
        <v xml:space="preserve">  </v>
      </c>
      <c r="F1398" s="42" t="str">
        <f>IFERROR(AVERAGE(Data!F1400), "  ")</f>
        <v xml:space="preserve">  </v>
      </c>
      <c r="G1398" s="42" t="str">
        <f>IFERROR(AVERAGE(Data!G1400), "  ")</f>
        <v xml:space="preserve">  </v>
      </c>
      <c r="H1398" s="44" t="str">
        <f>IFERROR(AVERAGE(Data!H1400), "  ")</f>
        <v xml:space="preserve">  </v>
      </c>
      <c r="I1398" s="44" t="str">
        <f>IFERROR(AVERAGE(Data!I1400), "  ")</f>
        <v xml:space="preserve">  </v>
      </c>
      <c r="J1398" s="42" t="str">
        <f>IFERROR(AVERAGE(Data!J1400), "  ")</f>
        <v xml:space="preserve">  </v>
      </c>
      <c r="K1398" s="44" t="str">
        <f>IFERROR(AVERAGE(Data!K1400), "  ")</f>
        <v xml:space="preserve">  </v>
      </c>
      <c r="L1398" s="45" t="str">
        <f>IFERROR(AVERAGE(Data!L1400), "  ")</f>
        <v xml:space="preserve">  </v>
      </c>
    </row>
    <row r="1399" spans="1:12" x14ac:dyDescent="0.2">
      <c r="A1399" s="43"/>
      <c r="B1399" s="42" t="str">
        <f>IFERROR(AVERAGE(Data!B1401), "  ")</f>
        <v xml:space="preserve">  </v>
      </c>
      <c r="C1399" s="42" t="str">
        <f>IFERROR(AVERAGE(Data!C1401), "  ")</f>
        <v xml:space="preserve">  </v>
      </c>
      <c r="D1399" s="42" t="str">
        <f>IFERROR(AVERAGE(Data!D1401), "  ")</f>
        <v xml:space="preserve">  </v>
      </c>
      <c r="E1399" s="42" t="str">
        <f>IFERROR(AVERAGE(Data!E1401), "  ")</f>
        <v xml:space="preserve">  </v>
      </c>
      <c r="F1399" s="42" t="str">
        <f>IFERROR(AVERAGE(Data!F1401), "  ")</f>
        <v xml:space="preserve">  </v>
      </c>
      <c r="G1399" s="42" t="str">
        <f>IFERROR(AVERAGE(Data!G1401), "  ")</f>
        <v xml:space="preserve">  </v>
      </c>
      <c r="H1399" s="44" t="str">
        <f>IFERROR(AVERAGE(Data!H1401), "  ")</f>
        <v xml:space="preserve">  </v>
      </c>
      <c r="I1399" s="44" t="str">
        <f>IFERROR(AVERAGE(Data!I1401), "  ")</f>
        <v xml:space="preserve">  </v>
      </c>
      <c r="J1399" s="42" t="str">
        <f>IFERROR(AVERAGE(Data!J1401), "  ")</f>
        <v xml:space="preserve">  </v>
      </c>
      <c r="K1399" s="44" t="str">
        <f>IFERROR(AVERAGE(Data!K1401), "  ")</f>
        <v xml:space="preserve">  </v>
      </c>
      <c r="L1399" s="45" t="str">
        <f>IFERROR(AVERAGE(Data!L1401), "  ")</f>
        <v xml:space="preserve">  </v>
      </c>
    </row>
    <row r="1400" spans="1:12" x14ac:dyDescent="0.2">
      <c r="A1400" s="43"/>
      <c r="B1400" s="42" t="str">
        <f>IFERROR(AVERAGE(Data!B1402), "  ")</f>
        <v xml:space="preserve">  </v>
      </c>
      <c r="C1400" s="42" t="str">
        <f>IFERROR(AVERAGE(Data!C1402), "  ")</f>
        <v xml:space="preserve">  </v>
      </c>
      <c r="D1400" s="42" t="str">
        <f>IFERROR(AVERAGE(Data!D1402), "  ")</f>
        <v xml:space="preserve">  </v>
      </c>
      <c r="E1400" s="42" t="str">
        <f>IFERROR(AVERAGE(Data!E1402), "  ")</f>
        <v xml:space="preserve">  </v>
      </c>
      <c r="F1400" s="42" t="str">
        <f>IFERROR(AVERAGE(Data!F1402), "  ")</f>
        <v xml:space="preserve">  </v>
      </c>
      <c r="G1400" s="42" t="str">
        <f>IFERROR(AVERAGE(Data!G1402), "  ")</f>
        <v xml:space="preserve">  </v>
      </c>
      <c r="H1400" s="44" t="str">
        <f>IFERROR(AVERAGE(Data!H1402), "  ")</f>
        <v xml:space="preserve">  </v>
      </c>
      <c r="I1400" s="44" t="str">
        <f>IFERROR(AVERAGE(Data!I1402), "  ")</f>
        <v xml:space="preserve">  </v>
      </c>
      <c r="J1400" s="42" t="str">
        <f>IFERROR(AVERAGE(Data!J1402), "  ")</f>
        <v xml:space="preserve">  </v>
      </c>
      <c r="K1400" s="44" t="str">
        <f>IFERROR(AVERAGE(Data!K1402), "  ")</f>
        <v xml:space="preserve">  </v>
      </c>
      <c r="L1400" s="45" t="str">
        <f>IFERROR(AVERAGE(Data!L1402), "  ")</f>
        <v xml:space="preserve">  </v>
      </c>
    </row>
    <row r="1401" spans="1:12" x14ac:dyDescent="0.2">
      <c r="A1401" s="43"/>
      <c r="B1401" s="42" t="str">
        <f>IFERROR(AVERAGE(Data!B1403), "  ")</f>
        <v xml:space="preserve">  </v>
      </c>
      <c r="C1401" s="42" t="str">
        <f>IFERROR(AVERAGE(Data!C1403), "  ")</f>
        <v xml:space="preserve">  </v>
      </c>
      <c r="D1401" s="42" t="str">
        <f>IFERROR(AVERAGE(Data!D1403), "  ")</f>
        <v xml:space="preserve">  </v>
      </c>
      <c r="E1401" s="42" t="str">
        <f>IFERROR(AVERAGE(Data!E1403), "  ")</f>
        <v xml:space="preserve">  </v>
      </c>
      <c r="F1401" s="42" t="str">
        <f>IFERROR(AVERAGE(Data!F1403), "  ")</f>
        <v xml:space="preserve">  </v>
      </c>
      <c r="G1401" s="42" t="str">
        <f>IFERROR(AVERAGE(Data!G1403), "  ")</f>
        <v xml:space="preserve">  </v>
      </c>
      <c r="H1401" s="44" t="str">
        <f>IFERROR(AVERAGE(Data!H1403), "  ")</f>
        <v xml:space="preserve">  </v>
      </c>
      <c r="I1401" s="44" t="str">
        <f>IFERROR(AVERAGE(Data!I1403), "  ")</f>
        <v xml:space="preserve">  </v>
      </c>
      <c r="J1401" s="42" t="str">
        <f>IFERROR(AVERAGE(Data!J1403), "  ")</f>
        <v xml:space="preserve">  </v>
      </c>
      <c r="K1401" s="44" t="str">
        <f>IFERROR(AVERAGE(Data!K1403), "  ")</f>
        <v xml:space="preserve">  </v>
      </c>
      <c r="L1401" s="45" t="str">
        <f>IFERROR(AVERAGE(Data!L1403), "  ")</f>
        <v xml:space="preserve">  </v>
      </c>
    </row>
    <row r="1402" spans="1:12" x14ac:dyDescent="0.2">
      <c r="A1402" s="43"/>
      <c r="B1402" s="42" t="str">
        <f>IFERROR(AVERAGE(Data!B1404), "  ")</f>
        <v xml:space="preserve">  </v>
      </c>
      <c r="C1402" s="42" t="str">
        <f>IFERROR(AVERAGE(Data!C1404), "  ")</f>
        <v xml:space="preserve">  </v>
      </c>
      <c r="D1402" s="42" t="str">
        <f>IFERROR(AVERAGE(Data!D1404), "  ")</f>
        <v xml:space="preserve">  </v>
      </c>
      <c r="E1402" s="42" t="str">
        <f>IFERROR(AVERAGE(Data!E1404), "  ")</f>
        <v xml:space="preserve">  </v>
      </c>
      <c r="F1402" s="42" t="str">
        <f>IFERROR(AVERAGE(Data!F1404), "  ")</f>
        <v xml:space="preserve">  </v>
      </c>
      <c r="G1402" s="42" t="str">
        <f>IFERROR(AVERAGE(Data!G1404), "  ")</f>
        <v xml:space="preserve">  </v>
      </c>
      <c r="H1402" s="44" t="str">
        <f>IFERROR(AVERAGE(Data!H1404), "  ")</f>
        <v xml:space="preserve">  </v>
      </c>
      <c r="I1402" s="44" t="str">
        <f>IFERROR(AVERAGE(Data!I1404), "  ")</f>
        <v xml:space="preserve">  </v>
      </c>
      <c r="J1402" s="42" t="str">
        <f>IFERROR(AVERAGE(Data!J1404), "  ")</f>
        <v xml:space="preserve">  </v>
      </c>
      <c r="K1402" s="44" t="str">
        <f>IFERROR(AVERAGE(Data!K1404), "  ")</f>
        <v xml:space="preserve">  </v>
      </c>
      <c r="L1402" s="45" t="str">
        <f>IFERROR(AVERAGE(Data!L1404), "  ")</f>
        <v xml:space="preserve">  </v>
      </c>
    </row>
    <row r="1403" spans="1:12" x14ac:dyDescent="0.2">
      <c r="A1403" s="43"/>
      <c r="B1403" s="42" t="str">
        <f>IFERROR(AVERAGE(Data!B1405), "  ")</f>
        <v xml:space="preserve">  </v>
      </c>
      <c r="C1403" s="42" t="str">
        <f>IFERROR(AVERAGE(Data!C1405), "  ")</f>
        <v xml:space="preserve">  </v>
      </c>
      <c r="D1403" s="42" t="str">
        <f>IFERROR(AVERAGE(Data!D1405), "  ")</f>
        <v xml:space="preserve">  </v>
      </c>
      <c r="E1403" s="42" t="str">
        <f>IFERROR(AVERAGE(Data!E1405), "  ")</f>
        <v xml:space="preserve">  </v>
      </c>
      <c r="F1403" s="42" t="str">
        <f>IFERROR(AVERAGE(Data!F1405), "  ")</f>
        <v xml:space="preserve">  </v>
      </c>
      <c r="G1403" s="42" t="str">
        <f>IFERROR(AVERAGE(Data!G1405), "  ")</f>
        <v xml:space="preserve">  </v>
      </c>
      <c r="H1403" s="44" t="str">
        <f>IFERROR(AVERAGE(Data!H1405), "  ")</f>
        <v xml:space="preserve">  </v>
      </c>
      <c r="I1403" s="44" t="str">
        <f>IFERROR(AVERAGE(Data!I1405), "  ")</f>
        <v xml:space="preserve">  </v>
      </c>
      <c r="J1403" s="42" t="str">
        <f>IFERROR(AVERAGE(Data!J1405), "  ")</f>
        <v xml:space="preserve">  </v>
      </c>
      <c r="K1403" s="44" t="str">
        <f>IFERROR(AVERAGE(Data!K1405), "  ")</f>
        <v xml:space="preserve">  </v>
      </c>
      <c r="L1403" s="45" t="str">
        <f>IFERROR(AVERAGE(Data!L1405), "  ")</f>
        <v xml:space="preserve">  </v>
      </c>
    </row>
    <row r="1404" spans="1:12" x14ac:dyDescent="0.2">
      <c r="A1404" s="43"/>
      <c r="B1404" s="42" t="str">
        <f>IFERROR(AVERAGE(Data!B1406), "  ")</f>
        <v xml:space="preserve">  </v>
      </c>
      <c r="C1404" s="42" t="str">
        <f>IFERROR(AVERAGE(Data!C1406), "  ")</f>
        <v xml:space="preserve">  </v>
      </c>
      <c r="D1404" s="42" t="str">
        <f>IFERROR(AVERAGE(Data!D1406), "  ")</f>
        <v xml:space="preserve">  </v>
      </c>
      <c r="E1404" s="42" t="str">
        <f>IFERROR(AVERAGE(Data!E1406), "  ")</f>
        <v xml:space="preserve">  </v>
      </c>
      <c r="F1404" s="42" t="str">
        <f>IFERROR(AVERAGE(Data!F1406), "  ")</f>
        <v xml:space="preserve">  </v>
      </c>
      <c r="G1404" s="42" t="str">
        <f>IFERROR(AVERAGE(Data!G1406), "  ")</f>
        <v xml:space="preserve">  </v>
      </c>
      <c r="H1404" s="44" t="str">
        <f>IFERROR(AVERAGE(Data!H1406), "  ")</f>
        <v xml:space="preserve">  </v>
      </c>
      <c r="I1404" s="44" t="str">
        <f>IFERROR(AVERAGE(Data!I1406), "  ")</f>
        <v xml:space="preserve">  </v>
      </c>
      <c r="J1404" s="42" t="str">
        <f>IFERROR(AVERAGE(Data!J1406), "  ")</f>
        <v xml:space="preserve">  </v>
      </c>
      <c r="K1404" s="44" t="str">
        <f>IFERROR(AVERAGE(Data!K1406), "  ")</f>
        <v xml:space="preserve">  </v>
      </c>
      <c r="L1404" s="45" t="str">
        <f>IFERROR(AVERAGE(Data!L1406), "  ")</f>
        <v xml:space="preserve">  </v>
      </c>
    </row>
    <row r="1405" spans="1:12" x14ac:dyDescent="0.2">
      <c r="A1405" s="43"/>
      <c r="B1405" s="42" t="str">
        <f>IFERROR(AVERAGE(Data!B1407), "  ")</f>
        <v xml:space="preserve">  </v>
      </c>
      <c r="C1405" s="42" t="str">
        <f>IFERROR(AVERAGE(Data!C1407), "  ")</f>
        <v xml:space="preserve">  </v>
      </c>
      <c r="D1405" s="42" t="str">
        <f>IFERROR(AVERAGE(Data!D1407), "  ")</f>
        <v xml:space="preserve">  </v>
      </c>
      <c r="E1405" s="42" t="str">
        <f>IFERROR(AVERAGE(Data!E1407), "  ")</f>
        <v xml:space="preserve">  </v>
      </c>
      <c r="F1405" s="42" t="str">
        <f>IFERROR(AVERAGE(Data!F1407), "  ")</f>
        <v xml:space="preserve">  </v>
      </c>
      <c r="G1405" s="42" t="str">
        <f>IFERROR(AVERAGE(Data!G1407), "  ")</f>
        <v xml:space="preserve">  </v>
      </c>
      <c r="H1405" s="44" t="str">
        <f>IFERROR(AVERAGE(Data!H1407), "  ")</f>
        <v xml:space="preserve">  </v>
      </c>
      <c r="I1405" s="44" t="str">
        <f>IFERROR(AVERAGE(Data!I1407), "  ")</f>
        <v xml:space="preserve">  </v>
      </c>
      <c r="J1405" s="42" t="str">
        <f>IFERROR(AVERAGE(Data!J1407), "  ")</f>
        <v xml:space="preserve">  </v>
      </c>
      <c r="K1405" s="44" t="str">
        <f>IFERROR(AVERAGE(Data!K1407), "  ")</f>
        <v xml:space="preserve">  </v>
      </c>
      <c r="L1405" s="45" t="str">
        <f>IFERROR(AVERAGE(Data!L1407), "  ")</f>
        <v xml:space="preserve">  </v>
      </c>
    </row>
    <row r="1406" spans="1:12" x14ac:dyDescent="0.2">
      <c r="A1406" s="43"/>
      <c r="B1406" s="42" t="str">
        <f>IFERROR(AVERAGE(Data!B1408), "  ")</f>
        <v xml:space="preserve">  </v>
      </c>
      <c r="C1406" s="42" t="str">
        <f>IFERROR(AVERAGE(Data!C1408), "  ")</f>
        <v xml:space="preserve">  </v>
      </c>
      <c r="D1406" s="42" t="str">
        <f>IFERROR(AVERAGE(Data!D1408), "  ")</f>
        <v xml:space="preserve">  </v>
      </c>
      <c r="E1406" s="42" t="str">
        <f>IFERROR(AVERAGE(Data!E1408), "  ")</f>
        <v xml:space="preserve">  </v>
      </c>
      <c r="F1406" s="42" t="str">
        <f>IFERROR(AVERAGE(Data!F1408), "  ")</f>
        <v xml:space="preserve">  </v>
      </c>
      <c r="G1406" s="42" t="str">
        <f>IFERROR(AVERAGE(Data!G1408), "  ")</f>
        <v xml:space="preserve">  </v>
      </c>
      <c r="H1406" s="44" t="str">
        <f>IFERROR(AVERAGE(Data!H1408), "  ")</f>
        <v xml:space="preserve">  </v>
      </c>
      <c r="I1406" s="44" t="str">
        <f>IFERROR(AVERAGE(Data!I1408), "  ")</f>
        <v xml:space="preserve">  </v>
      </c>
      <c r="J1406" s="42" t="str">
        <f>IFERROR(AVERAGE(Data!J1408), "  ")</f>
        <v xml:space="preserve">  </v>
      </c>
      <c r="K1406" s="44" t="str">
        <f>IFERROR(AVERAGE(Data!K1408), "  ")</f>
        <v xml:space="preserve">  </v>
      </c>
      <c r="L1406" s="45" t="str">
        <f>IFERROR(AVERAGE(Data!L1408), "  ")</f>
        <v xml:space="preserve">  </v>
      </c>
    </row>
    <row r="1407" spans="1:12" x14ac:dyDescent="0.2">
      <c r="A1407" s="43"/>
      <c r="B1407" s="42" t="str">
        <f>IFERROR(AVERAGE(Data!B1409), "  ")</f>
        <v xml:space="preserve">  </v>
      </c>
      <c r="C1407" s="42" t="str">
        <f>IFERROR(AVERAGE(Data!C1409), "  ")</f>
        <v xml:space="preserve">  </v>
      </c>
      <c r="D1407" s="42" t="str">
        <f>IFERROR(AVERAGE(Data!D1409), "  ")</f>
        <v xml:space="preserve">  </v>
      </c>
      <c r="E1407" s="42" t="str">
        <f>IFERROR(AVERAGE(Data!E1409), "  ")</f>
        <v xml:space="preserve">  </v>
      </c>
      <c r="F1407" s="42" t="str">
        <f>IFERROR(AVERAGE(Data!F1409), "  ")</f>
        <v xml:space="preserve">  </v>
      </c>
      <c r="G1407" s="42" t="str">
        <f>IFERROR(AVERAGE(Data!G1409), "  ")</f>
        <v xml:space="preserve">  </v>
      </c>
      <c r="H1407" s="44" t="str">
        <f>IFERROR(AVERAGE(Data!H1409), "  ")</f>
        <v xml:space="preserve">  </v>
      </c>
      <c r="I1407" s="44" t="str">
        <f>IFERROR(AVERAGE(Data!I1409), "  ")</f>
        <v xml:space="preserve">  </v>
      </c>
      <c r="J1407" s="42" t="str">
        <f>IFERROR(AVERAGE(Data!J1409), "  ")</f>
        <v xml:space="preserve">  </v>
      </c>
      <c r="K1407" s="44" t="str">
        <f>IFERROR(AVERAGE(Data!K1409), "  ")</f>
        <v xml:space="preserve">  </v>
      </c>
      <c r="L1407" s="45" t="str">
        <f>IFERROR(AVERAGE(Data!L1409), "  ")</f>
        <v xml:space="preserve">  </v>
      </c>
    </row>
    <row r="1408" spans="1:12" x14ac:dyDescent="0.2">
      <c r="A1408" s="43"/>
      <c r="B1408" s="42" t="str">
        <f>IFERROR(AVERAGE(Data!B1410), "  ")</f>
        <v xml:space="preserve">  </v>
      </c>
      <c r="C1408" s="42" t="str">
        <f>IFERROR(AVERAGE(Data!C1410), "  ")</f>
        <v xml:space="preserve">  </v>
      </c>
      <c r="D1408" s="42" t="str">
        <f>IFERROR(AVERAGE(Data!D1410), "  ")</f>
        <v xml:space="preserve">  </v>
      </c>
      <c r="E1408" s="42" t="str">
        <f>IFERROR(AVERAGE(Data!E1410), "  ")</f>
        <v xml:space="preserve">  </v>
      </c>
      <c r="F1408" s="42" t="str">
        <f>IFERROR(AVERAGE(Data!F1410), "  ")</f>
        <v xml:space="preserve">  </v>
      </c>
      <c r="G1408" s="42" t="str">
        <f>IFERROR(AVERAGE(Data!G1410), "  ")</f>
        <v xml:space="preserve">  </v>
      </c>
      <c r="H1408" s="44" t="str">
        <f>IFERROR(AVERAGE(Data!H1410), "  ")</f>
        <v xml:space="preserve">  </v>
      </c>
      <c r="I1408" s="44" t="str">
        <f>IFERROR(AVERAGE(Data!I1410), "  ")</f>
        <v xml:space="preserve">  </v>
      </c>
      <c r="J1408" s="42" t="str">
        <f>IFERROR(AVERAGE(Data!J1410), "  ")</f>
        <v xml:space="preserve">  </v>
      </c>
      <c r="K1408" s="44" t="str">
        <f>IFERROR(AVERAGE(Data!K1410), "  ")</f>
        <v xml:space="preserve">  </v>
      </c>
      <c r="L1408" s="45" t="str">
        <f>IFERROR(AVERAGE(Data!L1410), "  ")</f>
        <v xml:space="preserve">  </v>
      </c>
    </row>
    <row r="1409" spans="1:12" x14ac:dyDescent="0.2">
      <c r="A1409" s="43"/>
      <c r="B1409" s="42" t="str">
        <f>IFERROR(AVERAGE(Data!B1411), "  ")</f>
        <v xml:space="preserve">  </v>
      </c>
      <c r="C1409" s="42" t="str">
        <f>IFERROR(AVERAGE(Data!C1411), "  ")</f>
        <v xml:space="preserve">  </v>
      </c>
      <c r="D1409" s="42" t="str">
        <f>IFERROR(AVERAGE(Data!D1411), "  ")</f>
        <v xml:space="preserve">  </v>
      </c>
      <c r="E1409" s="42" t="str">
        <f>IFERROR(AVERAGE(Data!E1411), "  ")</f>
        <v xml:space="preserve">  </v>
      </c>
      <c r="F1409" s="42" t="str">
        <f>IFERROR(AVERAGE(Data!F1411), "  ")</f>
        <v xml:space="preserve">  </v>
      </c>
      <c r="G1409" s="42" t="str">
        <f>IFERROR(AVERAGE(Data!G1411), "  ")</f>
        <v xml:space="preserve">  </v>
      </c>
      <c r="H1409" s="44" t="str">
        <f>IFERROR(AVERAGE(Data!H1411), "  ")</f>
        <v xml:space="preserve">  </v>
      </c>
      <c r="I1409" s="44" t="str">
        <f>IFERROR(AVERAGE(Data!I1411), "  ")</f>
        <v xml:space="preserve">  </v>
      </c>
      <c r="J1409" s="42" t="str">
        <f>IFERROR(AVERAGE(Data!J1411), "  ")</f>
        <v xml:space="preserve">  </v>
      </c>
      <c r="K1409" s="44" t="str">
        <f>IFERROR(AVERAGE(Data!K1411), "  ")</f>
        <v xml:space="preserve">  </v>
      </c>
      <c r="L1409" s="45" t="str">
        <f>IFERROR(AVERAGE(Data!L1411), "  ")</f>
        <v xml:space="preserve">  </v>
      </c>
    </row>
    <row r="1410" spans="1:12" x14ac:dyDescent="0.2">
      <c r="A1410" s="43"/>
      <c r="B1410" s="42" t="str">
        <f>IFERROR(AVERAGE(Data!B1412), "  ")</f>
        <v xml:space="preserve">  </v>
      </c>
      <c r="C1410" s="42" t="str">
        <f>IFERROR(AVERAGE(Data!C1412), "  ")</f>
        <v xml:space="preserve">  </v>
      </c>
      <c r="D1410" s="42" t="str">
        <f>IFERROR(AVERAGE(Data!D1412), "  ")</f>
        <v xml:space="preserve">  </v>
      </c>
      <c r="E1410" s="42" t="str">
        <f>IFERROR(AVERAGE(Data!E1412), "  ")</f>
        <v xml:space="preserve">  </v>
      </c>
      <c r="F1410" s="42" t="str">
        <f>IFERROR(AVERAGE(Data!F1412), "  ")</f>
        <v xml:space="preserve">  </v>
      </c>
      <c r="G1410" s="42" t="str">
        <f>IFERROR(AVERAGE(Data!G1412), "  ")</f>
        <v xml:space="preserve">  </v>
      </c>
      <c r="H1410" s="44" t="str">
        <f>IFERROR(AVERAGE(Data!H1412), "  ")</f>
        <v xml:space="preserve">  </v>
      </c>
      <c r="I1410" s="44" t="str">
        <f>IFERROR(AVERAGE(Data!I1412), "  ")</f>
        <v xml:space="preserve">  </v>
      </c>
      <c r="J1410" s="42" t="str">
        <f>IFERROR(AVERAGE(Data!J1412), "  ")</f>
        <v xml:space="preserve">  </v>
      </c>
      <c r="K1410" s="44" t="str">
        <f>IFERROR(AVERAGE(Data!K1412), "  ")</f>
        <v xml:space="preserve">  </v>
      </c>
      <c r="L1410" s="45" t="str">
        <f>IFERROR(AVERAGE(Data!L1412), "  ")</f>
        <v xml:space="preserve">  </v>
      </c>
    </row>
    <row r="1411" spans="1:12" x14ac:dyDescent="0.2">
      <c r="A1411" s="43"/>
      <c r="B1411" s="42" t="str">
        <f>IFERROR(AVERAGE(Data!B1413), "  ")</f>
        <v xml:space="preserve">  </v>
      </c>
      <c r="C1411" s="42" t="str">
        <f>IFERROR(AVERAGE(Data!C1413), "  ")</f>
        <v xml:space="preserve">  </v>
      </c>
      <c r="D1411" s="42" t="str">
        <f>IFERROR(AVERAGE(Data!D1413), "  ")</f>
        <v xml:space="preserve">  </v>
      </c>
      <c r="E1411" s="42" t="str">
        <f>IFERROR(AVERAGE(Data!E1413), "  ")</f>
        <v xml:space="preserve">  </v>
      </c>
      <c r="F1411" s="42" t="str">
        <f>IFERROR(AVERAGE(Data!F1413), "  ")</f>
        <v xml:space="preserve">  </v>
      </c>
      <c r="G1411" s="42" t="str">
        <f>IFERROR(AVERAGE(Data!G1413), "  ")</f>
        <v xml:space="preserve">  </v>
      </c>
      <c r="H1411" s="44" t="str">
        <f>IFERROR(AVERAGE(Data!H1413), "  ")</f>
        <v xml:space="preserve">  </v>
      </c>
      <c r="I1411" s="44" t="str">
        <f>IFERROR(AVERAGE(Data!I1413), "  ")</f>
        <v xml:space="preserve">  </v>
      </c>
      <c r="J1411" s="42" t="str">
        <f>IFERROR(AVERAGE(Data!J1413), "  ")</f>
        <v xml:space="preserve">  </v>
      </c>
      <c r="K1411" s="44" t="str">
        <f>IFERROR(AVERAGE(Data!K1413), "  ")</f>
        <v xml:space="preserve">  </v>
      </c>
      <c r="L1411" s="45" t="str">
        <f>IFERROR(AVERAGE(Data!L1413), "  ")</f>
        <v xml:space="preserve">  </v>
      </c>
    </row>
    <row r="1412" spans="1:12" x14ac:dyDescent="0.2">
      <c r="A1412" s="43"/>
      <c r="B1412" s="42" t="str">
        <f>IFERROR(AVERAGE(Data!B1414), "  ")</f>
        <v xml:space="preserve">  </v>
      </c>
      <c r="C1412" s="42" t="str">
        <f>IFERROR(AVERAGE(Data!C1414), "  ")</f>
        <v xml:space="preserve">  </v>
      </c>
      <c r="D1412" s="42" t="str">
        <f>IFERROR(AVERAGE(Data!D1414), "  ")</f>
        <v xml:space="preserve">  </v>
      </c>
      <c r="E1412" s="42" t="str">
        <f>IFERROR(AVERAGE(Data!E1414), "  ")</f>
        <v xml:space="preserve">  </v>
      </c>
      <c r="F1412" s="42" t="str">
        <f>IFERROR(AVERAGE(Data!F1414), "  ")</f>
        <v xml:space="preserve">  </v>
      </c>
      <c r="G1412" s="42" t="str">
        <f>IFERROR(AVERAGE(Data!G1414), "  ")</f>
        <v xml:space="preserve">  </v>
      </c>
      <c r="H1412" s="44" t="str">
        <f>IFERROR(AVERAGE(Data!H1414), "  ")</f>
        <v xml:space="preserve">  </v>
      </c>
      <c r="I1412" s="44" t="str">
        <f>IFERROR(AVERAGE(Data!I1414), "  ")</f>
        <v xml:space="preserve">  </v>
      </c>
      <c r="J1412" s="42" t="str">
        <f>IFERROR(AVERAGE(Data!J1414), "  ")</f>
        <v xml:space="preserve">  </v>
      </c>
      <c r="K1412" s="44" t="str">
        <f>IFERROR(AVERAGE(Data!K1414), "  ")</f>
        <v xml:space="preserve">  </v>
      </c>
      <c r="L1412" s="45" t="str">
        <f>IFERROR(AVERAGE(Data!L1414), "  ")</f>
        <v xml:space="preserve">  </v>
      </c>
    </row>
    <row r="1413" spans="1:12" x14ac:dyDescent="0.2">
      <c r="A1413" s="43"/>
      <c r="B1413" s="42" t="str">
        <f>IFERROR(AVERAGE(Data!B1415), "  ")</f>
        <v xml:space="preserve">  </v>
      </c>
      <c r="C1413" s="42" t="str">
        <f>IFERROR(AVERAGE(Data!C1415), "  ")</f>
        <v xml:space="preserve">  </v>
      </c>
      <c r="D1413" s="42" t="str">
        <f>IFERROR(AVERAGE(Data!D1415), "  ")</f>
        <v xml:space="preserve">  </v>
      </c>
      <c r="E1413" s="42" t="str">
        <f>IFERROR(AVERAGE(Data!E1415), "  ")</f>
        <v xml:space="preserve">  </v>
      </c>
      <c r="F1413" s="42" t="str">
        <f>IFERROR(AVERAGE(Data!F1415), "  ")</f>
        <v xml:space="preserve">  </v>
      </c>
      <c r="G1413" s="42" t="str">
        <f>IFERROR(AVERAGE(Data!G1415), "  ")</f>
        <v xml:space="preserve">  </v>
      </c>
      <c r="H1413" s="44" t="str">
        <f>IFERROR(AVERAGE(Data!H1415), "  ")</f>
        <v xml:space="preserve">  </v>
      </c>
      <c r="I1413" s="44" t="str">
        <f>IFERROR(AVERAGE(Data!I1415), "  ")</f>
        <v xml:space="preserve">  </v>
      </c>
      <c r="J1413" s="42" t="str">
        <f>IFERROR(AVERAGE(Data!J1415), "  ")</f>
        <v xml:space="preserve">  </v>
      </c>
      <c r="K1413" s="44" t="str">
        <f>IFERROR(AVERAGE(Data!K1415), "  ")</f>
        <v xml:space="preserve">  </v>
      </c>
      <c r="L1413" s="45" t="str">
        <f>IFERROR(AVERAGE(Data!L1415), "  ")</f>
        <v xml:space="preserve">  </v>
      </c>
    </row>
    <row r="1414" spans="1:12" x14ac:dyDescent="0.2">
      <c r="A1414" s="43"/>
      <c r="B1414" s="42" t="str">
        <f>IFERROR(AVERAGE(Data!B1416), "  ")</f>
        <v xml:space="preserve">  </v>
      </c>
      <c r="C1414" s="42" t="str">
        <f>IFERROR(AVERAGE(Data!C1416), "  ")</f>
        <v xml:space="preserve">  </v>
      </c>
      <c r="D1414" s="42" t="str">
        <f>IFERROR(AVERAGE(Data!D1416), "  ")</f>
        <v xml:space="preserve">  </v>
      </c>
      <c r="E1414" s="42" t="str">
        <f>IFERROR(AVERAGE(Data!E1416), "  ")</f>
        <v xml:space="preserve">  </v>
      </c>
      <c r="F1414" s="42" t="str">
        <f>IFERROR(AVERAGE(Data!F1416), "  ")</f>
        <v xml:space="preserve">  </v>
      </c>
      <c r="G1414" s="42" t="str">
        <f>IFERROR(AVERAGE(Data!G1416), "  ")</f>
        <v xml:space="preserve">  </v>
      </c>
      <c r="H1414" s="44" t="str">
        <f>IFERROR(AVERAGE(Data!H1416), "  ")</f>
        <v xml:space="preserve">  </v>
      </c>
      <c r="I1414" s="44" t="str">
        <f>IFERROR(AVERAGE(Data!I1416), "  ")</f>
        <v xml:space="preserve">  </v>
      </c>
      <c r="J1414" s="42" t="str">
        <f>IFERROR(AVERAGE(Data!J1416), "  ")</f>
        <v xml:space="preserve">  </v>
      </c>
      <c r="K1414" s="44" t="str">
        <f>IFERROR(AVERAGE(Data!K1416), "  ")</f>
        <v xml:space="preserve">  </v>
      </c>
      <c r="L1414" s="45" t="str">
        <f>IFERROR(AVERAGE(Data!L1416), "  ")</f>
        <v xml:space="preserve">  </v>
      </c>
    </row>
    <row r="1415" spans="1:12" x14ac:dyDescent="0.2">
      <c r="A1415" s="43"/>
      <c r="B1415" s="42" t="str">
        <f>IFERROR(AVERAGE(Data!B1417), "  ")</f>
        <v xml:space="preserve">  </v>
      </c>
      <c r="C1415" s="42" t="str">
        <f>IFERROR(AVERAGE(Data!C1417), "  ")</f>
        <v xml:space="preserve">  </v>
      </c>
      <c r="D1415" s="42" t="str">
        <f>IFERROR(AVERAGE(Data!D1417), "  ")</f>
        <v xml:space="preserve">  </v>
      </c>
      <c r="E1415" s="42" t="str">
        <f>IFERROR(AVERAGE(Data!E1417), "  ")</f>
        <v xml:space="preserve">  </v>
      </c>
      <c r="F1415" s="42" t="str">
        <f>IFERROR(AVERAGE(Data!F1417), "  ")</f>
        <v xml:space="preserve">  </v>
      </c>
      <c r="G1415" s="42" t="str">
        <f>IFERROR(AVERAGE(Data!G1417), "  ")</f>
        <v xml:space="preserve">  </v>
      </c>
      <c r="H1415" s="44" t="str">
        <f>IFERROR(AVERAGE(Data!H1417), "  ")</f>
        <v xml:space="preserve">  </v>
      </c>
      <c r="I1415" s="44" t="str">
        <f>IFERROR(AVERAGE(Data!I1417), "  ")</f>
        <v xml:space="preserve">  </v>
      </c>
      <c r="J1415" s="42" t="str">
        <f>IFERROR(AVERAGE(Data!J1417), "  ")</f>
        <v xml:space="preserve">  </v>
      </c>
      <c r="K1415" s="44" t="str">
        <f>IFERROR(AVERAGE(Data!K1417), "  ")</f>
        <v xml:space="preserve">  </v>
      </c>
      <c r="L1415" s="45" t="str">
        <f>IFERROR(AVERAGE(Data!L1417), "  ")</f>
        <v xml:space="preserve">  </v>
      </c>
    </row>
    <row r="1416" spans="1:12" x14ac:dyDescent="0.2">
      <c r="A1416" s="43"/>
      <c r="B1416" s="42" t="str">
        <f>IFERROR(AVERAGE(Data!B1418), "  ")</f>
        <v xml:space="preserve">  </v>
      </c>
      <c r="C1416" s="42" t="str">
        <f>IFERROR(AVERAGE(Data!C1418), "  ")</f>
        <v xml:space="preserve">  </v>
      </c>
      <c r="D1416" s="42" t="str">
        <f>IFERROR(AVERAGE(Data!D1418), "  ")</f>
        <v xml:space="preserve">  </v>
      </c>
      <c r="E1416" s="42" t="str">
        <f>IFERROR(AVERAGE(Data!E1418), "  ")</f>
        <v xml:space="preserve">  </v>
      </c>
      <c r="F1416" s="42" t="str">
        <f>IFERROR(AVERAGE(Data!F1418), "  ")</f>
        <v xml:space="preserve">  </v>
      </c>
      <c r="G1416" s="42" t="str">
        <f>IFERROR(AVERAGE(Data!G1418), "  ")</f>
        <v xml:space="preserve">  </v>
      </c>
      <c r="H1416" s="44" t="str">
        <f>IFERROR(AVERAGE(Data!H1418), "  ")</f>
        <v xml:space="preserve">  </v>
      </c>
      <c r="I1416" s="44" t="str">
        <f>IFERROR(AVERAGE(Data!I1418), "  ")</f>
        <v xml:space="preserve">  </v>
      </c>
      <c r="J1416" s="42" t="str">
        <f>IFERROR(AVERAGE(Data!J1418), "  ")</f>
        <v xml:space="preserve">  </v>
      </c>
      <c r="K1416" s="44" t="str">
        <f>IFERROR(AVERAGE(Data!K1418), "  ")</f>
        <v xml:space="preserve">  </v>
      </c>
      <c r="L1416" s="45" t="str">
        <f>IFERROR(AVERAGE(Data!L1418), "  ")</f>
        <v xml:space="preserve">  </v>
      </c>
    </row>
    <row r="1417" spans="1:12" x14ac:dyDescent="0.2">
      <c r="A1417" s="43"/>
      <c r="B1417" s="42" t="str">
        <f>IFERROR(AVERAGE(Data!B1419), "  ")</f>
        <v xml:space="preserve">  </v>
      </c>
      <c r="C1417" s="42" t="str">
        <f>IFERROR(AVERAGE(Data!C1419), "  ")</f>
        <v xml:space="preserve">  </v>
      </c>
      <c r="D1417" s="42" t="str">
        <f>IFERROR(AVERAGE(Data!D1419), "  ")</f>
        <v xml:space="preserve">  </v>
      </c>
      <c r="E1417" s="42" t="str">
        <f>IFERROR(AVERAGE(Data!E1419), "  ")</f>
        <v xml:space="preserve">  </v>
      </c>
      <c r="F1417" s="42" t="str">
        <f>IFERROR(AVERAGE(Data!F1419), "  ")</f>
        <v xml:space="preserve">  </v>
      </c>
      <c r="G1417" s="42" t="str">
        <f>IFERROR(AVERAGE(Data!G1419), "  ")</f>
        <v xml:space="preserve">  </v>
      </c>
      <c r="H1417" s="44" t="str">
        <f>IFERROR(AVERAGE(Data!H1419), "  ")</f>
        <v xml:space="preserve">  </v>
      </c>
      <c r="I1417" s="44" t="str">
        <f>IFERROR(AVERAGE(Data!I1419), "  ")</f>
        <v xml:space="preserve">  </v>
      </c>
      <c r="J1417" s="42" t="str">
        <f>IFERROR(AVERAGE(Data!J1419), "  ")</f>
        <v xml:space="preserve">  </v>
      </c>
      <c r="K1417" s="44" t="str">
        <f>IFERROR(AVERAGE(Data!K1419), "  ")</f>
        <v xml:space="preserve">  </v>
      </c>
      <c r="L1417" s="45" t="str">
        <f>IFERROR(AVERAGE(Data!L1419), "  ")</f>
        <v xml:space="preserve">  </v>
      </c>
    </row>
    <row r="1418" spans="1:12" x14ac:dyDescent="0.2">
      <c r="A1418" s="43"/>
      <c r="B1418" s="42" t="str">
        <f>IFERROR(AVERAGE(Data!B1420), "  ")</f>
        <v xml:space="preserve">  </v>
      </c>
      <c r="C1418" s="42" t="str">
        <f>IFERROR(AVERAGE(Data!C1420), "  ")</f>
        <v xml:space="preserve">  </v>
      </c>
      <c r="D1418" s="42" t="str">
        <f>IFERROR(AVERAGE(Data!D1420), "  ")</f>
        <v xml:space="preserve">  </v>
      </c>
      <c r="E1418" s="42" t="str">
        <f>IFERROR(AVERAGE(Data!E1420), "  ")</f>
        <v xml:space="preserve">  </v>
      </c>
      <c r="F1418" s="42" t="str">
        <f>IFERROR(AVERAGE(Data!F1420), "  ")</f>
        <v xml:space="preserve">  </v>
      </c>
      <c r="G1418" s="42" t="str">
        <f>IFERROR(AVERAGE(Data!G1420), "  ")</f>
        <v xml:space="preserve">  </v>
      </c>
      <c r="H1418" s="44" t="str">
        <f>IFERROR(AVERAGE(Data!H1420), "  ")</f>
        <v xml:space="preserve">  </v>
      </c>
      <c r="I1418" s="44" t="str">
        <f>IFERROR(AVERAGE(Data!I1420), "  ")</f>
        <v xml:space="preserve">  </v>
      </c>
      <c r="J1418" s="42" t="str">
        <f>IFERROR(AVERAGE(Data!J1420), "  ")</f>
        <v xml:space="preserve">  </v>
      </c>
      <c r="K1418" s="44" t="str">
        <f>IFERROR(AVERAGE(Data!K1420), "  ")</f>
        <v xml:space="preserve">  </v>
      </c>
      <c r="L1418" s="45" t="str">
        <f>IFERROR(AVERAGE(Data!L1420), "  ")</f>
        <v xml:space="preserve">  </v>
      </c>
    </row>
    <row r="1419" spans="1:12" x14ac:dyDescent="0.2">
      <c r="A1419" s="43"/>
      <c r="B1419" s="42" t="str">
        <f>IFERROR(AVERAGE(Data!B1421), "  ")</f>
        <v xml:space="preserve">  </v>
      </c>
      <c r="C1419" s="42" t="str">
        <f>IFERROR(AVERAGE(Data!C1421), "  ")</f>
        <v xml:space="preserve">  </v>
      </c>
      <c r="D1419" s="42" t="str">
        <f>IFERROR(AVERAGE(Data!D1421), "  ")</f>
        <v xml:space="preserve">  </v>
      </c>
      <c r="E1419" s="42" t="str">
        <f>IFERROR(AVERAGE(Data!E1421), "  ")</f>
        <v xml:space="preserve">  </v>
      </c>
      <c r="F1419" s="42" t="str">
        <f>IFERROR(AVERAGE(Data!F1421), "  ")</f>
        <v xml:space="preserve">  </v>
      </c>
      <c r="G1419" s="42" t="str">
        <f>IFERROR(AVERAGE(Data!G1421), "  ")</f>
        <v xml:space="preserve">  </v>
      </c>
      <c r="H1419" s="44" t="str">
        <f>IFERROR(AVERAGE(Data!H1421), "  ")</f>
        <v xml:space="preserve">  </v>
      </c>
      <c r="I1419" s="44" t="str">
        <f>IFERROR(AVERAGE(Data!I1421), "  ")</f>
        <v xml:space="preserve">  </v>
      </c>
      <c r="J1419" s="42" t="str">
        <f>IFERROR(AVERAGE(Data!J1421), "  ")</f>
        <v xml:space="preserve">  </v>
      </c>
      <c r="K1419" s="44" t="str">
        <f>IFERROR(AVERAGE(Data!K1421), "  ")</f>
        <v xml:space="preserve">  </v>
      </c>
      <c r="L1419" s="45" t="str">
        <f>IFERROR(AVERAGE(Data!L1421), "  ")</f>
        <v xml:space="preserve">  </v>
      </c>
    </row>
    <row r="1420" spans="1:12" x14ac:dyDescent="0.2">
      <c r="A1420" s="43"/>
      <c r="B1420" s="42" t="str">
        <f>IFERROR(AVERAGE(Data!B1422), "  ")</f>
        <v xml:space="preserve">  </v>
      </c>
      <c r="C1420" s="42" t="str">
        <f>IFERROR(AVERAGE(Data!C1422), "  ")</f>
        <v xml:space="preserve">  </v>
      </c>
      <c r="D1420" s="42" t="str">
        <f>IFERROR(AVERAGE(Data!D1422), "  ")</f>
        <v xml:space="preserve">  </v>
      </c>
      <c r="E1420" s="42" t="str">
        <f>IFERROR(AVERAGE(Data!E1422), "  ")</f>
        <v xml:space="preserve">  </v>
      </c>
      <c r="F1420" s="42" t="str">
        <f>IFERROR(AVERAGE(Data!F1422), "  ")</f>
        <v xml:space="preserve">  </v>
      </c>
      <c r="G1420" s="42" t="str">
        <f>IFERROR(AVERAGE(Data!G1422), "  ")</f>
        <v xml:space="preserve">  </v>
      </c>
      <c r="H1420" s="44" t="str">
        <f>IFERROR(AVERAGE(Data!H1422), "  ")</f>
        <v xml:space="preserve">  </v>
      </c>
      <c r="I1420" s="44" t="str">
        <f>IFERROR(AVERAGE(Data!I1422), "  ")</f>
        <v xml:space="preserve">  </v>
      </c>
      <c r="J1420" s="42" t="str">
        <f>IFERROR(AVERAGE(Data!J1422), "  ")</f>
        <v xml:space="preserve">  </v>
      </c>
      <c r="K1420" s="44" t="str">
        <f>IFERROR(AVERAGE(Data!K1422), "  ")</f>
        <v xml:space="preserve">  </v>
      </c>
      <c r="L1420" s="45" t="str">
        <f>IFERROR(AVERAGE(Data!L1422), "  ")</f>
        <v xml:space="preserve">  </v>
      </c>
    </row>
    <row r="1421" spans="1:12" x14ac:dyDescent="0.2">
      <c r="A1421" s="43"/>
      <c r="B1421" s="42" t="str">
        <f>IFERROR(AVERAGE(Data!B1423), "  ")</f>
        <v xml:space="preserve">  </v>
      </c>
      <c r="C1421" s="42" t="str">
        <f>IFERROR(AVERAGE(Data!C1423), "  ")</f>
        <v xml:space="preserve">  </v>
      </c>
      <c r="D1421" s="42" t="str">
        <f>IFERROR(AVERAGE(Data!D1423), "  ")</f>
        <v xml:space="preserve">  </v>
      </c>
      <c r="E1421" s="42" t="str">
        <f>IFERROR(AVERAGE(Data!E1423), "  ")</f>
        <v xml:space="preserve">  </v>
      </c>
      <c r="F1421" s="42" t="str">
        <f>IFERROR(AVERAGE(Data!F1423), "  ")</f>
        <v xml:space="preserve">  </v>
      </c>
      <c r="G1421" s="42" t="str">
        <f>IFERROR(AVERAGE(Data!G1423), "  ")</f>
        <v xml:space="preserve">  </v>
      </c>
      <c r="H1421" s="44" t="str">
        <f>IFERROR(AVERAGE(Data!H1423), "  ")</f>
        <v xml:space="preserve">  </v>
      </c>
      <c r="I1421" s="44" t="str">
        <f>IFERROR(AVERAGE(Data!I1423), "  ")</f>
        <v xml:space="preserve">  </v>
      </c>
      <c r="J1421" s="42" t="str">
        <f>IFERROR(AVERAGE(Data!J1423), "  ")</f>
        <v xml:space="preserve">  </v>
      </c>
      <c r="K1421" s="44" t="str">
        <f>IFERROR(AVERAGE(Data!K1423), "  ")</f>
        <v xml:space="preserve">  </v>
      </c>
      <c r="L1421" s="45" t="str">
        <f>IFERROR(AVERAGE(Data!L1423), "  ")</f>
        <v xml:space="preserve">  </v>
      </c>
    </row>
    <row r="1422" spans="1:12" x14ac:dyDescent="0.2">
      <c r="A1422" s="43"/>
      <c r="B1422" s="42" t="str">
        <f>IFERROR(AVERAGE(Data!B1424), "  ")</f>
        <v xml:space="preserve">  </v>
      </c>
      <c r="C1422" s="42" t="str">
        <f>IFERROR(AVERAGE(Data!C1424), "  ")</f>
        <v xml:space="preserve">  </v>
      </c>
      <c r="D1422" s="42" t="str">
        <f>IFERROR(AVERAGE(Data!D1424), "  ")</f>
        <v xml:space="preserve">  </v>
      </c>
      <c r="E1422" s="42" t="str">
        <f>IFERROR(AVERAGE(Data!E1424), "  ")</f>
        <v xml:space="preserve">  </v>
      </c>
      <c r="F1422" s="42" t="str">
        <f>IFERROR(AVERAGE(Data!F1424), "  ")</f>
        <v xml:space="preserve">  </v>
      </c>
      <c r="G1422" s="42" t="str">
        <f>IFERROR(AVERAGE(Data!G1424), "  ")</f>
        <v xml:space="preserve">  </v>
      </c>
      <c r="H1422" s="44" t="str">
        <f>IFERROR(AVERAGE(Data!H1424), "  ")</f>
        <v xml:space="preserve">  </v>
      </c>
      <c r="I1422" s="44" t="str">
        <f>IFERROR(AVERAGE(Data!I1424), "  ")</f>
        <v xml:space="preserve">  </v>
      </c>
      <c r="J1422" s="42" t="str">
        <f>IFERROR(AVERAGE(Data!J1424), "  ")</f>
        <v xml:space="preserve">  </v>
      </c>
      <c r="K1422" s="44" t="str">
        <f>IFERROR(AVERAGE(Data!K1424), "  ")</f>
        <v xml:space="preserve">  </v>
      </c>
      <c r="L1422" s="45" t="str">
        <f>IFERROR(AVERAGE(Data!L1424), "  ")</f>
        <v xml:space="preserve">  </v>
      </c>
    </row>
    <row r="1423" spans="1:12" x14ac:dyDescent="0.2">
      <c r="A1423" s="43"/>
      <c r="B1423" s="42" t="str">
        <f>IFERROR(AVERAGE(Data!B1425), "  ")</f>
        <v xml:space="preserve">  </v>
      </c>
      <c r="C1423" s="42" t="str">
        <f>IFERROR(AVERAGE(Data!C1425), "  ")</f>
        <v xml:space="preserve">  </v>
      </c>
      <c r="D1423" s="42" t="str">
        <f>IFERROR(AVERAGE(Data!D1425), "  ")</f>
        <v xml:space="preserve">  </v>
      </c>
      <c r="E1423" s="42" t="str">
        <f>IFERROR(AVERAGE(Data!E1425), "  ")</f>
        <v xml:space="preserve">  </v>
      </c>
      <c r="F1423" s="42" t="str">
        <f>IFERROR(AVERAGE(Data!F1425), "  ")</f>
        <v xml:space="preserve">  </v>
      </c>
      <c r="G1423" s="42" t="str">
        <f>IFERROR(AVERAGE(Data!G1425), "  ")</f>
        <v xml:space="preserve">  </v>
      </c>
      <c r="H1423" s="44" t="str">
        <f>IFERROR(AVERAGE(Data!H1425), "  ")</f>
        <v xml:space="preserve">  </v>
      </c>
      <c r="I1423" s="44" t="str">
        <f>IFERROR(AVERAGE(Data!I1425), "  ")</f>
        <v xml:space="preserve">  </v>
      </c>
      <c r="J1423" s="42" t="str">
        <f>IFERROR(AVERAGE(Data!J1425), "  ")</f>
        <v xml:space="preserve">  </v>
      </c>
      <c r="K1423" s="44" t="str">
        <f>IFERROR(AVERAGE(Data!K1425), "  ")</f>
        <v xml:space="preserve">  </v>
      </c>
      <c r="L1423" s="45" t="str">
        <f>IFERROR(AVERAGE(Data!L1425), "  ")</f>
        <v xml:space="preserve">  </v>
      </c>
    </row>
    <row r="1424" spans="1:12" x14ac:dyDescent="0.2">
      <c r="A1424" s="43"/>
      <c r="B1424" s="42" t="str">
        <f>IFERROR(AVERAGE(Data!B1426), "  ")</f>
        <v xml:space="preserve">  </v>
      </c>
      <c r="C1424" s="42" t="str">
        <f>IFERROR(AVERAGE(Data!C1426), "  ")</f>
        <v xml:space="preserve">  </v>
      </c>
      <c r="D1424" s="42" t="str">
        <f>IFERROR(AVERAGE(Data!D1426), "  ")</f>
        <v xml:space="preserve">  </v>
      </c>
      <c r="E1424" s="42" t="str">
        <f>IFERROR(AVERAGE(Data!E1426), "  ")</f>
        <v xml:space="preserve">  </v>
      </c>
      <c r="F1424" s="42" t="str">
        <f>IFERROR(AVERAGE(Data!F1426), "  ")</f>
        <v xml:space="preserve">  </v>
      </c>
      <c r="G1424" s="42" t="str">
        <f>IFERROR(AVERAGE(Data!G1426), "  ")</f>
        <v xml:space="preserve">  </v>
      </c>
      <c r="H1424" s="44" t="str">
        <f>IFERROR(AVERAGE(Data!H1426), "  ")</f>
        <v xml:space="preserve">  </v>
      </c>
      <c r="I1424" s="44" t="str">
        <f>IFERROR(AVERAGE(Data!I1426), "  ")</f>
        <v xml:space="preserve">  </v>
      </c>
      <c r="J1424" s="42" t="str">
        <f>IFERROR(AVERAGE(Data!J1426), "  ")</f>
        <v xml:space="preserve">  </v>
      </c>
      <c r="K1424" s="44" t="str">
        <f>IFERROR(AVERAGE(Data!K1426), "  ")</f>
        <v xml:space="preserve">  </v>
      </c>
      <c r="L1424" s="45" t="str">
        <f>IFERROR(AVERAGE(Data!L1426), "  ")</f>
        <v xml:space="preserve">  </v>
      </c>
    </row>
    <row r="1425" spans="1:12" x14ac:dyDescent="0.2">
      <c r="A1425" s="43"/>
      <c r="B1425" s="42" t="str">
        <f>IFERROR(AVERAGE(Data!B1427), "  ")</f>
        <v xml:space="preserve">  </v>
      </c>
      <c r="C1425" s="42" t="str">
        <f>IFERROR(AVERAGE(Data!C1427), "  ")</f>
        <v xml:space="preserve">  </v>
      </c>
      <c r="D1425" s="42" t="str">
        <f>IFERROR(AVERAGE(Data!D1427), "  ")</f>
        <v xml:space="preserve">  </v>
      </c>
      <c r="E1425" s="42" t="str">
        <f>IFERROR(AVERAGE(Data!E1427), "  ")</f>
        <v xml:space="preserve">  </v>
      </c>
      <c r="F1425" s="42" t="str">
        <f>IFERROR(AVERAGE(Data!F1427), "  ")</f>
        <v xml:space="preserve">  </v>
      </c>
      <c r="G1425" s="42" t="str">
        <f>IFERROR(AVERAGE(Data!G1427), "  ")</f>
        <v xml:space="preserve">  </v>
      </c>
      <c r="H1425" s="44" t="str">
        <f>IFERROR(AVERAGE(Data!H1427), "  ")</f>
        <v xml:space="preserve">  </v>
      </c>
      <c r="I1425" s="44" t="str">
        <f>IFERROR(AVERAGE(Data!I1427), "  ")</f>
        <v xml:space="preserve">  </v>
      </c>
      <c r="J1425" s="42" t="str">
        <f>IFERROR(AVERAGE(Data!J1427), "  ")</f>
        <v xml:space="preserve">  </v>
      </c>
      <c r="K1425" s="44" t="str">
        <f>IFERROR(AVERAGE(Data!K1427), "  ")</f>
        <v xml:space="preserve">  </v>
      </c>
      <c r="L1425" s="45" t="str">
        <f>IFERROR(AVERAGE(Data!L1427), "  ")</f>
        <v xml:space="preserve">  </v>
      </c>
    </row>
    <row r="1426" spans="1:12" x14ac:dyDescent="0.2">
      <c r="A1426" s="43"/>
      <c r="B1426" s="42" t="str">
        <f>IFERROR(AVERAGE(Data!B1428), "  ")</f>
        <v xml:space="preserve">  </v>
      </c>
      <c r="C1426" s="42" t="str">
        <f>IFERROR(AVERAGE(Data!C1428), "  ")</f>
        <v xml:space="preserve">  </v>
      </c>
      <c r="D1426" s="42" t="str">
        <f>IFERROR(AVERAGE(Data!D1428), "  ")</f>
        <v xml:space="preserve">  </v>
      </c>
      <c r="E1426" s="42" t="str">
        <f>IFERROR(AVERAGE(Data!E1428), "  ")</f>
        <v xml:space="preserve">  </v>
      </c>
      <c r="F1426" s="42" t="str">
        <f>IFERROR(AVERAGE(Data!F1428), "  ")</f>
        <v xml:space="preserve">  </v>
      </c>
      <c r="G1426" s="42" t="str">
        <f>IFERROR(AVERAGE(Data!G1428), "  ")</f>
        <v xml:space="preserve">  </v>
      </c>
      <c r="H1426" s="44" t="str">
        <f>IFERROR(AVERAGE(Data!H1428), "  ")</f>
        <v xml:space="preserve">  </v>
      </c>
      <c r="I1426" s="44" t="str">
        <f>IFERROR(AVERAGE(Data!I1428), "  ")</f>
        <v xml:space="preserve">  </v>
      </c>
      <c r="J1426" s="42" t="str">
        <f>IFERROR(AVERAGE(Data!J1428), "  ")</f>
        <v xml:space="preserve">  </v>
      </c>
      <c r="K1426" s="44" t="str">
        <f>IFERROR(AVERAGE(Data!K1428), "  ")</f>
        <v xml:space="preserve">  </v>
      </c>
      <c r="L1426" s="45" t="str">
        <f>IFERROR(AVERAGE(Data!L1428), "  ")</f>
        <v xml:space="preserve">  </v>
      </c>
    </row>
    <row r="1427" spans="1:12" x14ac:dyDescent="0.2">
      <c r="A1427" s="43"/>
      <c r="B1427" s="42" t="str">
        <f>IFERROR(AVERAGE(Data!B1429), "  ")</f>
        <v xml:space="preserve">  </v>
      </c>
      <c r="C1427" s="42" t="str">
        <f>IFERROR(AVERAGE(Data!C1429), "  ")</f>
        <v xml:space="preserve">  </v>
      </c>
      <c r="D1427" s="42" t="str">
        <f>IFERROR(AVERAGE(Data!D1429), "  ")</f>
        <v xml:space="preserve">  </v>
      </c>
      <c r="E1427" s="42" t="str">
        <f>IFERROR(AVERAGE(Data!E1429), "  ")</f>
        <v xml:space="preserve">  </v>
      </c>
      <c r="F1427" s="42" t="str">
        <f>IFERROR(AVERAGE(Data!F1429), "  ")</f>
        <v xml:space="preserve">  </v>
      </c>
      <c r="G1427" s="42" t="str">
        <f>IFERROR(AVERAGE(Data!G1429), "  ")</f>
        <v xml:space="preserve">  </v>
      </c>
      <c r="H1427" s="44" t="str">
        <f>IFERROR(AVERAGE(Data!H1429), "  ")</f>
        <v xml:space="preserve">  </v>
      </c>
      <c r="I1427" s="44" t="str">
        <f>IFERROR(AVERAGE(Data!I1429), "  ")</f>
        <v xml:space="preserve">  </v>
      </c>
      <c r="J1427" s="42" t="str">
        <f>IFERROR(AVERAGE(Data!J1429), "  ")</f>
        <v xml:space="preserve">  </v>
      </c>
      <c r="K1427" s="44" t="str">
        <f>IFERROR(AVERAGE(Data!K1429), "  ")</f>
        <v xml:space="preserve">  </v>
      </c>
      <c r="L1427" s="45" t="str">
        <f>IFERROR(AVERAGE(Data!L1429), "  ")</f>
        <v xml:space="preserve">  </v>
      </c>
    </row>
    <row r="1428" spans="1:12" x14ac:dyDescent="0.2">
      <c r="A1428" s="43"/>
      <c r="B1428" s="42" t="str">
        <f>IFERROR(AVERAGE(Data!B1430), "  ")</f>
        <v xml:space="preserve">  </v>
      </c>
      <c r="C1428" s="42" t="str">
        <f>IFERROR(AVERAGE(Data!C1430), "  ")</f>
        <v xml:space="preserve">  </v>
      </c>
      <c r="D1428" s="42" t="str">
        <f>IFERROR(AVERAGE(Data!D1430), "  ")</f>
        <v xml:space="preserve">  </v>
      </c>
      <c r="E1428" s="42" t="str">
        <f>IFERROR(AVERAGE(Data!E1430), "  ")</f>
        <v xml:space="preserve">  </v>
      </c>
      <c r="F1428" s="42" t="str">
        <f>IFERROR(AVERAGE(Data!F1430), "  ")</f>
        <v xml:space="preserve">  </v>
      </c>
      <c r="G1428" s="42" t="str">
        <f>IFERROR(AVERAGE(Data!G1430), "  ")</f>
        <v xml:space="preserve">  </v>
      </c>
      <c r="H1428" s="44" t="str">
        <f>IFERROR(AVERAGE(Data!H1430), "  ")</f>
        <v xml:space="preserve">  </v>
      </c>
      <c r="I1428" s="44" t="str">
        <f>IFERROR(AVERAGE(Data!I1430), "  ")</f>
        <v xml:space="preserve">  </v>
      </c>
      <c r="J1428" s="42" t="str">
        <f>IFERROR(AVERAGE(Data!J1430), "  ")</f>
        <v xml:space="preserve">  </v>
      </c>
      <c r="K1428" s="44" t="str">
        <f>IFERROR(AVERAGE(Data!K1430), "  ")</f>
        <v xml:space="preserve">  </v>
      </c>
      <c r="L1428" s="45" t="str">
        <f>IFERROR(AVERAGE(Data!L1430), "  ")</f>
        <v xml:space="preserve">  </v>
      </c>
    </row>
    <row r="1429" spans="1:12" x14ac:dyDescent="0.2">
      <c r="A1429" s="43"/>
      <c r="B1429" s="42" t="str">
        <f>IFERROR(AVERAGE(Data!B1431), "  ")</f>
        <v xml:space="preserve">  </v>
      </c>
      <c r="C1429" s="42" t="str">
        <f>IFERROR(AVERAGE(Data!C1431), "  ")</f>
        <v xml:space="preserve">  </v>
      </c>
      <c r="D1429" s="42" t="str">
        <f>IFERROR(AVERAGE(Data!D1431), "  ")</f>
        <v xml:space="preserve">  </v>
      </c>
      <c r="E1429" s="42" t="str">
        <f>IFERROR(AVERAGE(Data!E1431), "  ")</f>
        <v xml:space="preserve">  </v>
      </c>
      <c r="F1429" s="42" t="str">
        <f>IFERROR(AVERAGE(Data!F1431), "  ")</f>
        <v xml:space="preserve">  </v>
      </c>
      <c r="G1429" s="42" t="str">
        <f>IFERROR(AVERAGE(Data!G1431), "  ")</f>
        <v xml:space="preserve">  </v>
      </c>
      <c r="H1429" s="44" t="str">
        <f>IFERROR(AVERAGE(Data!H1431), "  ")</f>
        <v xml:space="preserve">  </v>
      </c>
      <c r="I1429" s="44" t="str">
        <f>IFERROR(AVERAGE(Data!I1431), "  ")</f>
        <v xml:space="preserve">  </v>
      </c>
      <c r="J1429" s="42" t="str">
        <f>IFERROR(AVERAGE(Data!J1431), "  ")</f>
        <v xml:space="preserve">  </v>
      </c>
      <c r="K1429" s="44" t="str">
        <f>IFERROR(AVERAGE(Data!K1431), "  ")</f>
        <v xml:space="preserve">  </v>
      </c>
      <c r="L1429" s="45" t="str">
        <f>IFERROR(AVERAGE(Data!L1431), "  ")</f>
        <v xml:space="preserve">  </v>
      </c>
    </row>
    <row r="1430" spans="1:12" x14ac:dyDescent="0.2">
      <c r="A1430" s="43"/>
      <c r="B1430" s="42" t="str">
        <f>IFERROR(AVERAGE(Data!B1432), "  ")</f>
        <v xml:space="preserve">  </v>
      </c>
      <c r="C1430" s="42" t="str">
        <f>IFERROR(AVERAGE(Data!C1432), "  ")</f>
        <v xml:space="preserve">  </v>
      </c>
      <c r="D1430" s="42" t="str">
        <f>IFERROR(AVERAGE(Data!D1432), "  ")</f>
        <v xml:space="preserve">  </v>
      </c>
      <c r="E1430" s="42" t="str">
        <f>IFERROR(AVERAGE(Data!E1432), "  ")</f>
        <v xml:space="preserve">  </v>
      </c>
      <c r="F1430" s="42" t="str">
        <f>IFERROR(AVERAGE(Data!F1432), "  ")</f>
        <v xml:space="preserve">  </v>
      </c>
      <c r="G1430" s="42" t="str">
        <f>IFERROR(AVERAGE(Data!G1432), "  ")</f>
        <v xml:space="preserve">  </v>
      </c>
      <c r="H1430" s="44" t="str">
        <f>IFERROR(AVERAGE(Data!H1432), "  ")</f>
        <v xml:space="preserve">  </v>
      </c>
      <c r="I1430" s="44" t="str">
        <f>IFERROR(AVERAGE(Data!I1432), "  ")</f>
        <v xml:space="preserve">  </v>
      </c>
      <c r="J1430" s="42" t="str">
        <f>IFERROR(AVERAGE(Data!J1432), "  ")</f>
        <v xml:space="preserve">  </v>
      </c>
      <c r="K1430" s="44" t="str">
        <f>IFERROR(AVERAGE(Data!K1432), "  ")</f>
        <v xml:space="preserve">  </v>
      </c>
      <c r="L1430" s="45" t="str">
        <f>IFERROR(AVERAGE(Data!L1432), "  ")</f>
        <v xml:space="preserve">  </v>
      </c>
    </row>
    <row r="1431" spans="1:12" x14ac:dyDescent="0.2">
      <c r="A1431" s="43"/>
      <c r="B1431" s="42" t="str">
        <f>IFERROR(AVERAGE(Data!B1433), "  ")</f>
        <v xml:space="preserve">  </v>
      </c>
      <c r="C1431" s="42" t="str">
        <f>IFERROR(AVERAGE(Data!C1433), "  ")</f>
        <v xml:space="preserve">  </v>
      </c>
      <c r="D1431" s="42" t="str">
        <f>IFERROR(AVERAGE(Data!D1433), "  ")</f>
        <v xml:space="preserve">  </v>
      </c>
      <c r="E1431" s="42" t="str">
        <f>IFERROR(AVERAGE(Data!E1433), "  ")</f>
        <v xml:space="preserve">  </v>
      </c>
      <c r="F1431" s="42" t="str">
        <f>IFERROR(AVERAGE(Data!F1433), "  ")</f>
        <v xml:space="preserve">  </v>
      </c>
      <c r="G1431" s="42" t="str">
        <f>IFERROR(AVERAGE(Data!G1433), "  ")</f>
        <v xml:space="preserve">  </v>
      </c>
      <c r="H1431" s="44" t="str">
        <f>IFERROR(AVERAGE(Data!H1433), "  ")</f>
        <v xml:space="preserve">  </v>
      </c>
      <c r="I1431" s="44" t="str">
        <f>IFERROR(AVERAGE(Data!I1433), "  ")</f>
        <v xml:space="preserve">  </v>
      </c>
      <c r="J1431" s="42" t="str">
        <f>IFERROR(AVERAGE(Data!J1433), "  ")</f>
        <v xml:space="preserve">  </v>
      </c>
      <c r="K1431" s="44" t="str">
        <f>IFERROR(AVERAGE(Data!K1433), "  ")</f>
        <v xml:space="preserve">  </v>
      </c>
      <c r="L1431" s="45" t="str">
        <f>IFERROR(AVERAGE(Data!L1433), "  ")</f>
        <v xml:space="preserve">  </v>
      </c>
    </row>
    <row r="1432" spans="1:12" x14ac:dyDescent="0.2">
      <c r="A1432" s="43"/>
      <c r="B1432" s="42" t="str">
        <f>IFERROR(AVERAGE(Data!B1434), "  ")</f>
        <v xml:space="preserve">  </v>
      </c>
      <c r="C1432" s="42" t="str">
        <f>IFERROR(AVERAGE(Data!C1434), "  ")</f>
        <v xml:space="preserve">  </v>
      </c>
      <c r="D1432" s="42" t="str">
        <f>IFERROR(AVERAGE(Data!D1434), "  ")</f>
        <v xml:space="preserve">  </v>
      </c>
      <c r="E1432" s="42" t="str">
        <f>IFERROR(AVERAGE(Data!E1434), "  ")</f>
        <v xml:space="preserve">  </v>
      </c>
      <c r="F1432" s="42" t="str">
        <f>IFERROR(AVERAGE(Data!F1434), "  ")</f>
        <v xml:space="preserve">  </v>
      </c>
      <c r="G1432" s="42" t="str">
        <f>IFERROR(AVERAGE(Data!G1434), "  ")</f>
        <v xml:space="preserve">  </v>
      </c>
      <c r="H1432" s="44" t="str">
        <f>IFERROR(AVERAGE(Data!H1434), "  ")</f>
        <v xml:space="preserve">  </v>
      </c>
      <c r="I1432" s="44" t="str">
        <f>IFERROR(AVERAGE(Data!I1434), "  ")</f>
        <v xml:space="preserve">  </v>
      </c>
      <c r="J1432" s="42" t="str">
        <f>IFERROR(AVERAGE(Data!J1434), "  ")</f>
        <v xml:space="preserve">  </v>
      </c>
      <c r="K1432" s="44" t="str">
        <f>IFERROR(AVERAGE(Data!K1434), "  ")</f>
        <v xml:space="preserve">  </v>
      </c>
      <c r="L1432" s="45" t="str">
        <f>IFERROR(AVERAGE(Data!L1434), "  ")</f>
        <v xml:space="preserve">  </v>
      </c>
    </row>
    <row r="1433" spans="1:12" x14ac:dyDescent="0.2">
      <c r="A1433" s="43"/>
      <c r="B1433" s="42" t="str">
        <f>IFERROR(AVERAGE(Data!B1435), "  ")</f>
        <v xml:space="preserve">  </v>
      </c>
      <c r="C1433" s="42" t="str">
        <f>IFERROR(AVERAGE(Data!C1435), "  ")</f>
        <v xml:space="preserve">  </v>
      </c>
      <c r="D1433" s="42" t="str">
        <f>IFERROR(AVERAGE(Data!D1435), "  ")</f>
        <v xml:space="preserve">  </v>
      </c>
      <c r="E1433" s="42" t="str">
        <f>IFERROR(AVERAGE(Data!E1435), "  ")</f>
        <v xml:space="preserve">  </v>
      </c>
      <c r="F1433" s="42" t="str">
        <f>IFERROR(AVERAGE(Data!F1435), "  ")</f>
        <v xml:space="preserve">  </v>
      </c>
      <c r="G1433" s="42" t="str">
        <f>IFERROR(AVERAGE(Data!G1435), "  ")</f>
        <v xml:space="preserve">  </v>
      </c>
      <c r="H1433" s="44" t="str">
        <f>IFERROR(AVERAGE(Data!H1435), "  ")</f>
        <v xml:space="preserve">  </v>
      </c>
      <c r="I1433" s="44" t="str">
        <f>IFERROR(AVERAGE(Data!I1435), "  ")</f>
        <v xml:space="preserve">  </v>
      </c>
      <c r="J1433" s="42" t="str">
        <f>IFERROR(AVERAGE(Data!J1435), "  ")</f>
        <v xml:space="preserve">  </v>
      </c>
      <c r="K1433" s="44" t="str">
        <f>IFERROR(AVERAGE(Data!K1435), "  ")</f>
        <v xml:space="preserve">  </v>
      </c>
      <c r="L1433" s="45" t="str">
        <f>IFERROR(AVERAGE(Data!L1435), "  ")</f>
        <v xml:space="preserve">  </v>
      </c>
    </row>
    <row r="1434" spans="1:12" x14ac:dyDescent="0.2">
      <c r="A1434" s="43"/>
      <c r="B1434" s="42" t="str">
        <f>IFERROR(AVERAGE(Data!B1436), "  ")</f>
        <v xml:space="preserve">  </v>
      </c>
      <c r="C1434" s="42" t="str">
        <f>IFERROR(AVERAGE(Data!C1436), "  ")</f>
        <v xml:space="preserve">  </v>
      </c>
      <c r="D1434" s="42" t="str">
        <f>IFERROR(AVERAGE(Data!D1436), "  ")</f>
        <v xml:space="preserve">  </v>
      </c>
      <c r="E1434" s="42" t="str">
        <f>IFERROR(AVERAGE(Data!E1436), "  ")</f>
        <v xml:space="preserve">  </v>
      </c>
      <c r="F1434" s="42" t="str">
        <f>IFERROR(AVERAGE(Data!F1436), "  ")</f>
        <v xml:space="preserve">  </v>
      </c>
      <c r="G1434" s="42" t="str">
        <f>IFERROR(AVERAGE(Data!G1436), "  ")</f>
        <v xml:space="preserve">  </v>
      </c>
      <c r="H1434" s="44" t="str">
        <f>IFERROR(AVERAGE(Data!H1436), "  ")</f>
        <v xml:space="preserve">  </v>
      </c>
      <c r="I1434" s="44" t="str">
        <f>IFERROR(AVERAGE(Data!I1436), "  ")</f>
        <v xml:space="preserve">  </v>
      </c>
      <c r="J1434" s="42" t="str">
        <f>IFERROR(AVERAGE(Data!J1436), "  ")</f>
        <v xml:space="preserve">  </v>
      </c>
      <c r="K1434" s="44" t="str">
        <f>IFERROR(AVERAGE(Data!K1436), "  ")</f>
        <v xml:space="preserve">  </v>
      </c>
      <c r="L1434" s="45" t="str">
        <f>IFERROR(AVERAGE(Data!L1436), "  ")</f>
        <v xml:space="preserve">  </v>
      </c>
    </row>
    <row r="1435" spans="1:12" x14ac:dyDescent="0.2">
      <c r="A1435" s="43"/>
      <c r="B1435" s="42" t="str">
        <f>IFERROR(AVERAGE(Data!B1437), "  ")</f>
        <v xml:space="preserve">  </v>
      </c>
      <c r="C1435" s="42" t="str">
        <f>IFERROR(AVERAGE(Data!C1437), "  ")</f>
        <v xml:space="preserve">  </v>
      </c>
      <c r="D1435" s="42" t="str">
        <f>IFERROR(AVERAGE(Data!D1437), "  ")</f>
        <v xml:space="preserve">  </v>
      </c>
      <c r="E1435" s="42" t="str">
        <f>IFERROR(AVERAGE(Data!E1437), "  ")</f>
        <v xml:space="preserve">  </v>
      </c>
      <c r="F1435" s="42" t="str">
        <f>IFERROR(AVERAGE(Data!F1437), "  ")</f>
        <v xml:space="preserve">  </v>
      </c>
      <c r="G1435" s="42" t="str">
        <f>IFERROR(AVERAGE(Data!G1437), "  ")</f>
        <v xml:space="preserve">  </v>
      </c>
      <c r="H1435" s="44" t="str">
        <f>IFERROR(AVERAGE(Data!H1437), "  ")</f>
        <v xml:space="preserve">  </v>
      </c>
      <c r="I1435" s="44" t="str">
        <f>IFERROR(AVERAGE(Data!I1437), "  ")</f>
        <v xml:space="preserve">  </v>
      </c>
      <c r="J1435" s="42" t="str">
        <f>IFERROR(AVERAGE(Data!J1437), "  ")</f>
        <v xml:space="preserve">  </v>
      </c>
      <c r="K1435" s="44" t="str">
        <f>IFERROR(AVERAGE(Data!K1437), "  ")</f>
        <v xml:space="preserve">  </v>
      </c>
      <c r="L1435" s="45" t="str">
        <f>IFERROR(AVERAGE(Data!L1437), "  ")</f>
        <v xml:space="preserve">  </v>
      </c>
    </row>
    <row r="1436" spans="1:12" x14ac:dyDescent="0.2">
      <c r="A1436" s="43"/>
      <c r="B1436" s="42" t="str">
        <f>IFERROR(AVERAGE(Data!B1438), "  ")</f>
        <v xml:space="preserve">  </v>
      </c>
      <c r="C1436" s="42" t="str">
        <f>IFERROR(AVERAGE(Data!C1438), "  ")</f>
        <v xml:space="preserve">  </v>
      </c>
      <c r="D1436" s="42" t="str">
        <f>IFERROR(AVERAGE(Data!D1438), "  ")</f>
        <v xml:space="preserve">  </v>
      </c>
      <c r="E1436" s="42" t="str">
        <f>IFERROR(AVERAGE(Data!E1438), "  ")</f>
        <v xml:space="preserve">  </v>
      </c>
      <c r="F1436" s="42" t="str">
        <f>IFERROR(AVERAGE(Data!F1438), "  ")</f>
        <v xml:space="preserve">  </v>
      </c>
      <c r="G1436" s="42" t="str">
        <f>IFERROR(AVERAGE(Data!G1438), "  ")</f>
        <v xml:space="preserve">  </v>
      </c>
      <c r="H1436" s="44" t="str">
        <f>IFERROR(AVERAGE(Data!H1438), "  ")</f>
        <v xml:space="preserve">  </v>
      </c>
      <c r="I1436" s="44" t="str">
        <f>IFERROR(AVERAGE(Data!I1438), "  ")</f>
        <v xml:space="preserve">  </v>
      </c>
      <c r="J1436" s="42" t="str">
        <f>IFERROR(AVERAGE(Data!J1438), "  ")</f>
        <v xml:space="preserve">  </v>
      </c>
      <c r="K1436" s="44" t="str">
        <f>IFERROR(AVERAGE(Data!K1438), "  ")</f>
        <v xml:space="preserve">  </v>
      </c>
      <c r="L1436" s="45" t="str">
        <f>IFERROR(AVERAGE(Data!L1438), "  ")</f>
        <v xml:space="preserve">  </v>
      </c>
    </row>
    <row r="1437" spans="1:12" x14ac:dyDescent="0.2">
      <c r="A1437" s="43"/>
      <c r="B1437" s="42" t="str">
        <f>IFERROR(AVERAGE(Data!B1439), "  ")</f>
        <v xml:space="preserve">  </v>
      </c>
      <c r="C1437" s="42" t="str">
        <f>IFERROR(AVERAGE(Data!C1439), "  ")</f>
        <v xml:space="preserve">  </v>
      </c>
      <c r="D1437" s="42" t="str">
        <f>IFERROR(AVERAGE(Data!D1439), "  ")</f>
        <v xml:space="preserve">  </v>
      </c>
      <c r="E1437" s="42" t="str">
        <f>IFERROR(AVERAGE(Data!E1439), "  ")</f>
        <v xml:space="preserve">  </v>
      </c>
      <c r="F1437" s="42" t="str">
        <f>IFERROR(AVERAGE(Data!F1439), "  ")</f>
        <v xml:space="preserve">  </v>
      </c>
      <c r="G1437" s="42" t="str">
        <f>IFERROR(AVERAGE(Data!G1439), "  ")</f>
        <v xml:space="preserve">  </v>
      </c>
      <c r="H1437" s="44" t="str">
        <f>IFERROR(AVERAGE(Data!H1439), "  ")</f>
        <v xml:space="preserve">  </v>
      </c>
      <c r="I1437" s="44" t="str">
        <f>IFERROR(AVERAGE(Data!I1439), "  ")</f>
        <v xml:space="preserve">  </v>
      </c>
      <c r="J1437" s="42" t="str">
        <f>IFERROR(AVERAGE(Data!J1439), "  ")</f>
        <v xml:space="preserve">  </v>
      </c>
      <c r="K1437" s="44" t="str">
        <f>IFERROR(AVERAGE(Data!K1439), "  ")</f>
        <v xml:space="preserve">  </v>
      </c>
      <c r="L1437" s="45" t="str">
        <f>IFERROR(AVERAGE(Data!L1439), "  ")</f>
        <v xml:space="preserve">  </v>
      </c>
    </row>
    <row r="1438" spans="1:12" x14ac:dyDescent="0.2">
      <c r="A1438" s="43"/>
      <c r="B1438" s="42" t="str">
        <f>IFERROR(AVERAGE(Data!B1440), "  ")</f>
        <v xml:space="preserve">  </v>
      </c>
      <c r="C1438" s="42" t="str">
        <f>IFERROR(AVERAGE(Data!C1440), "  ")</f>
        <v xml:space="preserve">  </v>
      </c>
      <c r="D1438" s="42" t="str">
        <f>IFERROR(AVERAGE(Data!D1440), "  ")</f>
        <v xml:space="preserve">  </v>
      </c>
      <c r="E1438" s="42" t="str">
        <f>IFERROR(AVERAGE(Data!E1440), "  ")</f>
        <v xml:space="preserve">  </v>
      </c>
      <c r="F1438" s="42" t="str">
        <f>IFERROR(AVERAGE(Data!F1440), "  ")</f>
        <v xml:space="preserve">  </v>
      </c>
      <c r="G1438" s="42" t="str">
        <f>IFERROR(AVERAGE(Data!G1440), "  ")</f>
        <v xml:space="preserve">  </v>
      </c>
      <c r="H1438" s="44" t="str">
        <f>IFERROR(AVERAGE(Data!H1440), "  ")</f>
        <v xml:space="preserve">  </v>
      </c>
      <c r="I1438" s="44" t="str">
        <f>IFERROR(AVERAGE(Data!I1440), "  ")</f>
        <v xml:space="preserve">  </v>
      </c>
      <c r="J1438" s="42" t="str">
        <f>IFERROR(AVERAGE(Data!J1440), "  ")</f>
        <v xml:space="preserve">  </v>
      </c>
      <c r="K1438" s="44" t="str">
        <f>IFERROR(AVERAGE(Data!K1440), "  ")</f>
        <v xml:space="preserve">  </v>
      </c>
      <c r="L1438" s="45" t="str">
        <f>IFERROR(AVERAGE(Data!L1440), "  ")</f>
        <v xml:space="preserve">  </v>
      </c>
    </row>
    <row r="1439" spans="1:12" x14ac:dyDescent="0.2">
      <c r="A1439" s="43"/>
      <c r="B1439" s="42" t="str">
        <f>IFERROR(AVERAGE(Data!B1441), "  ")</f>
        <v xml:space="preserve">  </v>
      </c>
      <c r="C1439" s="42" t="str">
        <f>IFERROR(AVERAGE(Data!C1441), "  ")</f>
        <v xml:space="preserve">  </v>
      </c>
      <c r="D1439" s="42" t="str">
        <f>IFERROR(AVERAGE(Data!D1441), "  ")</f>
        <v xml:space="preserve">  </v>
      </c>
      <c r="E1439" s="42" t="str">
        <f>IFERROR(AVERAGE(Data!E1441), "  ")</f>
        <v xml:space="preserve">  </v>
      </c>
      <c r="F1439" s="42" t="str">
        <f>IFERROR(AVERAGE(Data!F1441), "  ")</f>
        <v xml:space="preserve">  </v>
      </c>
      <c r="G1439" s="42" t="str">
        <f>IFERROR(AVERAGE(Data!G1441), "  ")</f>
        <v xml:space="preserve">  </v>
      </c>
      <c r="H1439" s="44" t="str">
        <f>IFERROR(AVERAGE(Data!H1441), "  ")</f>
        <v xml:space="preserve">  </v>
      </c>
      <c r="I1439" s="44" t="str">
        <f>IFERROR(AVERAGE(Data!I1441), "  ")</f>
        <v xml:space="preserve">  </v>
      </c>
      <c r="J1439" s="42" t="str">
        <f>IFERROR(AVERAGE(Data!J1441), "  ")</f>
        <v xml:space="preserve">  </v>
      </c>
      <c r="K1439" s="44" t="str">
        <f>IFERROR(AVERAGE(Data!K1441), "  ")</f>
        <v xml:space="preserve">  </v>
      </c>
      <c r="L1439" s="45" t="str">
        <f>IFERROR(AVERAGE(Data!L1441), "  ")</f>
        <v xml:space="preserve">  </v>
      </c>
    </row>
    <row r="1440" spans="1:12" x14ac:dyDescent="0.2">
      <c r="A1440" s="43"/>
      <c r="B1440" s="42" t="str">
        <f>IFERROR(AVERAGE(Data!B1442), "  ")</f>
        <v xml:space="preserve">  </v>
      </c>
      <c r="C1440" s="42" t="str">
        <f>IFERROR(AVERAGE(Data!C1442), "  ")</f>
        <v xml:space="preserve">  </v>
      </c>
      <c r="D1440" s="42" t="str">
        <f>IFERROR(AVERAGE(Data!D1442), "  ")</f>
        <v xml:space="preserve">  </v>
      </c>
      <c r="E1440" s="42" t="str">
        <f>IFERROR(AVERAGE(Data!E1442), "  ")</f>
        <v xml:space="preserve">  </v>
      </c>
      <c r="F1440" s="42" t="str">
        <f>IFERROR(AVERAGE(Data!F1442), "  ")</f>
        <v xml:space="preserve">  </v>
      </c>
      <c r="G1440" s="42" t="str">
        <f>IFERROR(AVERAGE(Data!G1442), "  ")</f>
        <v xml:space="preserve">  </v>
      </c>
      <c r="H1440" s="44" t="str">
        <f>IFERROR(AVERAGE(Data!H1442), "  ")</f>
        <v xml:space="preserve">  </v>
      </c>
      <c r="I1440" s="44" t="str">
        <f>IFERROR(AVERAGE(Data!I1442), "  ")</f>
        <v xml:space="preserve">  </v>
      </c>
      <c r="J1440" s="42" t="str">
        <f>IFERROR(AVERAGE(Data!J1442), "  ")</f>
        <v xml:space="preserve">  </v>
      </c>
      <c r="K1440" s="44" t="str">
        <f>IFERROR(AVERAGE(Data!K1442), "  ")</f>
        <v xml:space="preserve">  </v>
      </c>
      <c r="L1440" s="45" t="str">
        <f>IFERROR(AVERAGE(Data!L1442), "  ")</f>
        <v xml:space="preserve">  </v>
      </c>
    </row>
    <row r="1441" spans="1:12" x14ac:dyDescent="0.2">
      <c r="A1441" s="43"/>
      <c r="B1441" s="42" t="str">
        <f>IFERROR(AVERAGE(Data!B1443), "  ")</f>
        <v xml:space="preserve">  </v>
      </c>
      <c r="C1441" s="42" t="str">
        <f>IFERROR(AVERAGE(Data!C1443), "  ")</f>
        <v xml:space="preserve">  </v>
      </c>
      <c r="D1441" s="42" t="str">
        <f>IFERROR(AVERAGE(Data!D1443), "  ")</f>
        <v xml:space="preserve">  </v>
      </c>
      <c r="E1441" s="42" t="str">
        <f>IFERROR(AVERAGE(Data!E1443), "  ")</f>
        <v xml:space="preserve">  </v>
      </c>
      <c r="F1441" s="42" t="str">
        <f>IFERROR(AVERAGE(Data!F1443), "  ")</f>
        <v xml:space="preserve">  </v>
      </c>
      <c r="G1441" s="42" t="str">
        <f>IFERROR(AVERAGE(Data!G1443), "  ")</f>
        <v xml:space="preserve">  </v>
      </c>
      <c r="H1441" s="44" t="str">
        <f>IFERROR(AVERAGE(Data!H1443), "  ")</f>
        <v xml:space="preserve">  </v>
      </c>
      <c r="I1441" s="44" t="str">
        <f>IFERROR(AVERAGE(Data!I1443), "  ")</f>
        <v xml:space="preserve">  </v>
      </c>
      <c r="J1441" s="42" t="str">
        <f>IFERROR(AVERAGE(Data!J1443), "  ")</f>
        <v xml:space="preserve">  </v>
      </c>
      <c r="K1441" s="44" t="str">
        <f>IFERROR(AVERAGE(Data!K1443), "  ")</f>
        <v xml:space="preserve">  </v>
      </c>
      <c r="L1441" s="45" t="str">
        <f>IFERROR(AVERAGE(Data!L1443), "  ")</f>
        <v xml:space="preserve">  </v>
      </c>
    </row>
    <row r="1442" spans="1:12" x14ac:dyDescent="0.2">
      <c r="A1442" s="43"/>
      <c r="B1442" s="42" t="str">
        <f>IFERROR(AVERAGE(Data!B1444), "  ")</f>
        <v xml:space="preserve">  </v>
      </c>
      <c r="C1442" s="42" t="str">
        <f>IFERROR(AVERAGE(Data!C1444), "  ")</f>
        <v xml:space="preserve">  </v>
      </c>
      <c r="D1442" s="42" t="str">
        <f>IFERROR(AVERAGE(Data!D1444), "  ")</f>
        <v xml:space="preserve">  </v>
      </c>
      <c r="E1442" s="42" t="str">
        <f>IFERROR(AVERAGE(Data!E1444), "  ")</f>
        <v xml:space="preserve">  </v>
      </c>
      <c r="F1442" s="42" t="str">
        <f>IFERROR(AVERAGE(Data!F1444), "  ")</f>
        <v xml:space="preserve">  </v>
      </c>
      <c r="G1442" s="42" t="str">
        <f>IFERROR(AVERAGE(Data!G1444), "  ")</f>
        <v xml:space="preserve">  </v>
      </c>
      <c r="H1442" s="44" t="str">
        <f>IFERROR(AVERAGE(Data!H1444), "  ")</f>
        <v xml:space="preserve">  </v>
      </c>
      <c r="I1442" s="44" t="str">
        <f>IFERROR(AVERAGE(Data!I1444), "  ")</f>
        <v xml:space="preserve">  </v>
      </c>
      <c r="J1442" s="42" t="str">
        <f>IFERROR(AVERAGE(Data!J1444), "  ")</f>
        <v xml:space="preserve">  </v>
      </c>
      <c r="K1442" s="44" t="str">
        <f>IFERROR(AVERAGE(Data!K1444), "  ")</f>
        <v xml:space="preserve">  </v>
      </c>
      <c r="L1442" s="45" t="str">
        <f>IFERROR(AVERAGE(Data!L1444), "  ")</f>
        <v xml:space="preserve">  </v>
      </c>
    </row>
    <row r="1443" spans="1:12" x14ac:dyDescent="0.2">
      <c r="A1443" s="43"/>
      <c r="B1443" s="42" t="str">
        <f>IFERROR(AVERAGE(Data!B1445), "  ")</f>
        <v xml:space="preserve">  </v>
      </c>
      <c r="C1443" s="42" t="str">
        <f>IFERROR(AVERAGE(Data!C1445), "  ")</f>
        <v xml:space="preserve">  </v>
      </c>
      <c r="D1443" s="42" t="str">
        <f>IFERROR(AVERAGE(Data!D1445), "  ")</f>
        <v xml:space="preserve">  </v>
      </c>
      <c r="E1443" s="42" t="str">
        <f>IFERROR(AVERAGE(Data!E1445), "  ")</f>
        <v xml:space="preserve">  </v>
      </c>
      <c r="F1443" s="42" t="str">
        <f>IFERROR(AVERAGE(Data!F1445), "  ")</f>
        <v xml:space="preserve">  </v>
      </c>
      <c r="G1443" s="42" t="str">
        <f>IFERROR(AVERAGE(Data!G1445), "  ")</f>
        <v xml:space="preserve">  </v>
      </c>
      <c r="H1443" s="44" t="str">
        <f>IFERROR(AVERAGE(Data!H1445), "  ")</f>
        <v xml:space="preserve">  </v>
      </c>
      <c r="I1443" s="44" t="str">
        <f>IFERROR(AVERAGE(Data!I1445), "  ")</f>
        <v xml:space="preserve">  </v>
      </c>
      <c r="J1443" s="42" t="str">
        <f>IFERROR(AVERAGE(Data!J1445), "  ")</f>
        <v xml:space="preserve">  </v>
      </c>
      <c r="K1443" s="44" t="str">
        <f>IFERROR(AVERAGE(Data!K1445), "  ")</f>
        <v xml:space="preserve">  </v>
      </c>
      <c r="L1443" s="45" t="str">
        <f>IFERROR(AVERAGE(Data!L1445), "  ")</f>
        <v xml:space="preserve">  </v>
      </c>
    </row>
    <row r="1444" spans="1:12" x14ac:dyDescent="0.2">
      <c r="A1444" s="43"/>
      <c r="B1444" s="42" t="str">
        <f>IFERROR(AVERAGE(Data!B1446), "  ")</f>
        <v xml:space="preserve">  </v>
      </c>
      <c r="C1444" s="42" t="str">
        <f>IFERROR(AVERAGE(Data!C1446), "  ")</f>
        <v xml:space="preserve">  </v>
      </c>
      <c r="D1444" s="42" t="str">
        <f>IFERROR(AVERAGE(Data!D1446), "  ")</f>
        <v xml:space="preserve">  </v>
      </c>
      <c r="E1444" s="42" t="str">
        <f>IFERROR(AVERAGE(Data!E1446), "  ")</f>
        <v xml:space="preserve">  </v>
      </c>
      <c r="F1444" s="42" t="str">
        <f>IFERROR(AVERAGE(Data!F1446), "  ")</f>
        <v xml:space="preserve">  </v>
      </c>
      <c r="G1444" s="42" t="str">
        <f>IFERROR(AVERAGE(Data!G1446), "  ")</f>
        <v xml:space="preserve">  </v>
      </c>
      <c r="H1444" s="44" t="str">
        <f>IFERROR(AVERAGE(Data!H1446), "  ")</f>
        <v xml:space="preserve">  </v>
      </c>
      <c r="I1444" s="44" t="str">
        <f>IFERROR(AVERAGE(Data!I1446), "  ")</f>
        <v xml:space="preserve">  </v>
      </c>
      <c r="J1444" s="42" t="str">
        <f>IFERROR(AVERAGE(Data!J1446), "  ")</f>
        <v xml:space="preserve">  </v>
      </c>
      <c r="K1444" s="44" t="str">
        <f>IFERROR(AVERAGE(Data!K1446), "  ")</f>
        <v xml:space="preserve">  </v>
      </c>
      <c r="L1444" s="45" t="str">
        <f>IFERROR(AVERAGE(Data!L1446), "  ")</f>
        <v xml:space="preserve">  </v>
      </c>
    </row>
    <row r="1445" spans="1:12" x14ac:dyDescent="0.2">
      <c r="A1445" s="43"/>
      <c r="B1445" s="42" t="str">
        <f>IFERROR(AVERAGE(Data!B1447), "  ")</f>
        <v xml:space="preserve">  </v>
      </c>
      <c r="C1445" s="42" t="str">
        <f>IFERROR(AVERAGE(Data!C1447), "  ")</f>
        <v xml:space="preserve">  </v>
      </c>
      <c r="D1445" s="42" t="str">
        <f>IFERROR(AVERAGE(Data!D1447), "  ")</f>
        <v xml:space="preserve">  </v>
      </c>
      <c r="E1445" s="42" t="str">
        <f>IFERROR(AVERAGE(Data!E1447), "  ")</f>
        <v xml:space="preserve">  </v>
      </c>
      <c r="F1445" s="42" t="str">
        <f>IFERROR(AVERAGE(Data!F1447), "  ")</f>
        <v xml:space="preserve">  </v>
      </c>
      <c r="G1445" s="42" t="str">
        <f>IFERROR(AVERAGE(Data!G1447), "  ")</f>
        <v xml:space="preserve">  </v>
      </c>
      <c r="H1445" s="44" t="str">
        <f>IFERROR(AVERAGE(Data!H1447), "  ")</f>
        <v xml:space="preserve">  </v>
      </c>
      <c r="I1445" s="44" t="str">
        <f>IFERROR(AVERAGE(Data!I1447), "  ")</f>
        <v xml:space="preserve">  </v>
      </c>
      <c r="J1445" s="42" t="str">
        <f>IFERROR(AVERAGE(Data!J1447), "  ")</f>
        <v xml:space="preserve">  </v>
      </c>
      <c r="K1445" s="44" t="str">
        <f>IFERROR(AVERAGE(Data!K1447), "  ")</f>
        <v xml:space="preserve">  </v>
      </c>
      <c r="L1445" s="45" t="str">
        <f>IFERROR(AVERAGE(Data!L1447), "  ")</f>
        <v xml:space="preserve">  </v>
      </c>
    </row>
    <row r="1446" spans="1:12" x14ac:dyDescent="0.2">
      <c r="A1446" s="43"/>
      <c r="B1446" s="42" t="str">
        <f>IFERROR(AVERAGE(Data!B1448), "  ")</f>
        <v xml:space="preserve">  </v>
      </c>
      <c r="C1446" s="42" t="str">
        <f>IFERROR(AVERAGE(Data!C1448), "  ")</f>
        <v xml:space="preserve">  </v>
      </c>
      <c r="D1446" s="42" t="str">
        <f>IFERROR(AVERAGE(Data!D1448), "  ")</f>
        <v xml:space="preserve">  </v>
      </c>
      <c r="E1446" s="42" t="str">
        <f>IFERROR(AVERAGE(Data!E1448), "  ")</f>
        <v xml:space="preserve">  </v>
      </c>
      <c r="F1446" s="42" t="str">
        <f>IFERROR(AVERAGE(Data!F1448), "  ")</f>
        <v xml:space="preserve">  </v>
      </c>
      <c r="G1446" s="42" t="str">
        <f>IFERROR(AVERAGE(Data!G1448), "  ")</f>
        <v xml:space="preserve">  </v>
      </c>
      <c r="H1446" s="44" t="str">
        <f>IFERROR(AVERAGE(Data!H1448), "  ")</f>
        <v xml:space="preserve">  </v>
      </c>
      <c r="I1446" s="44" t="str">
        <f>IFERROR(AVERAGE(Data!I1448), "  ")</f>
        <v xml:space="preserve">  </v>
      </c>
      <c r="J1446" s="42" t="str">
        <f>IFERROR(AVERAGE(Data!J1448), "  ")</f>
        <v xml:space="preserve">  </v>
      </c>
      <c r="K1446" s="44" t="str">
        <f>IFERROR(AVERAGE(Data!K1448), "  ")</f>
        <v xml:space="preserve">  </v>
      </c>
      <c r="L1446" s="45" t="str">
        <f>IFERROR(AVERAGE(Data!L1448), "  ")</f>
        <v xml:space="preserve">  </v>
      </c>
    </row>
    <row r="1447" spans="1:12" x14ac:dyDescent="0.2">
      <c r="A1447" s="43"/>
      <c r="B1447" s="42" t="str">
        <f>IFERROR(AVERAGE(Data!B1449), "  ")</f>
        <v xml:space="preserve">  </v>
      </c>
      <c r="C1447" s="42" t="str">
        <f>IFERROR(AVERAGE(Data!C1449), "  ")</f>
        <v xml:space="preserve">  </v>
      </c>
      <c r="D1447" s="42" t="str">
        <f>IFERROR(AVERAGE(Data!D1449), "  ")</f>
        <v xml:space="preserve">  </v>
      </c>
      <c r="E1447" s="42" t="str">
        <f>IFERROR(AVERAGE(Data!E1449), "  ")</f>
        <v xml:space="preserve">  </v>
      </c>
      <c r="F1447" s="42" t="str">
        <f>IFERROR(AVERAGE(Data!F1449), "  ")</f>
        <v xml:space="preserve">  </v>
      </c>
      <c r="G1447" s="42" t="str">
        <f>IFERROR(AVERAGE(Data!G1449), "  ")</f>
        <v xml:space="preserve">  </v>
      </c>
      <c r="H1447" s="44" t="str">
        <f>IFERROR(AVERAGE(Data!H1449), "  ")</f>
        <v xml:space="preserve">  </v>
      </c>
      <c r="I1447" s="44" t="str">
        <f>IFERROR(AVERAGE(Data!I1449), "  ")</f>
        <v xml:space="preserve">  </v>
      </c>
      <c r="J1447" s="42" t="str">
        <f>IFERROR(AVERAGE(Data!J1449), "  ")</f>
        <v xml:space="preserve">  </v>
      </c>
      <c r="K1447" s="44" t="str">
        <f>IFERROR(AVERAGE(Data!K1449), "  ")</f>
        <v xml:space="preserve">  </v>
      </c>
      <c r="L1447" s="45" t="str">
        <f>IFERROR(AVERAGE(Data!L1449), "  ")</f>
        <v xml:space="preserve">  </v>
      </c>
    </row>
    <row r="1448" spans="1:12" x14ac:dyDescent="0.2">
      <c r="A1448" s="43"/>
      <c r="B1448" s="42" t="str">
        <f>IFERROR(AVERAGE(Data!B1450), "  ")</f>
        <v xml:space="preserve">  </v>
      </c>
      <c r="C1448" s="42" t="str">
        <f>IFERROR(AVERAGE(Data!C1450), "  ")</f>
        <v xml:space="preserve">  </v>
      </c>
      <c r="D1448" s="42" t="str">
        <f>IFERROR(AVERAGE(Data!D1450), "  ")</f>
        <v xml:space="preserve">  </v>
      </c>
      <c r="E1448" s="42" t="str">
        <f>IFERROR(AVERAGE(Data!E1450), "  ")</f>
        <v xml:space="preserve">  </v>
      </c>
      <c r="F1448" s="42" t="str">
        <f>IFERROR(AVERAGE(Data!F1450), "  ")</f>
        <v xml:space="preserve">  </v>
      </c>
      <c r="G1448" s="42" t="str">
        <f>IFERROR(AVERAGE(Data!G1450), "  ")</f>
        <v xml:space="preserve">  </v>
      </c>
      <c r="H1448" s="44" t="str">
        <f>IFERROR(AVERAGE(Data!H1450), "  ")</f>
        <v xml:space="preserve">  </v>
      </c>
      <c r="I1448" s="44" t="str">
        <f>IFERROR(AVERAGE(Data!I1450), "  ")</f>
        <v xml:space="preserve">  </v>
      </c>
      <c r="J1448" s="42" t="str">
        <f>IFERROR(AVERAGE(Data!J1450), "  ")</f>
        <v xml:space="preserve">  </v>
      </c>
      <c r="K1448" s="44" t="str">
        <f>IFERROR(AVERAGE(Data!K1450), "  ")</f>
        <v xml:space="preserve">  </v>
      </c>
      <c r="L1448" s="45" t="str">
        <f>IFERROR(AVERAGE(Data!L1450), "  ")</f>
        <v xml:space="preserve">  </v>
      </c>
    </row>
    <row r="1449" spans="1:12" x14ac:dyDescent="0.2">
      <c r="A1449" s="43"/>
      <c r="B1449" s="42" t="str">
        <f>IFERROR(AVERAGE(Data!B1451), "  ")</f>
        <v xml:space="preserve">  </v>
      </c>
      <c r="C1449" s="42" t="str">
        <f>IFERROR(AVERAGE(Data!C1451), "  ")</f>
        <v xml:space="preserve">  </v>
      </c>
      <c r="D1449" s="42" t="str">
        <f>IFERROR(AVERAGE(Data!D1451), "  ")</f>
        <v xml:space="preserve">  </v>
      </c>
      <c r="E1449" s="42" t="str">
        <f>IFERROR(AVERAGE(Data!E1451), "  ")</f>
        <v xml:space="preserve">  </v>
      </c>
      <c r="F1449" s="42" t="str">
        <f>IFERROR(AVERAGE(Data!F1451), "  ")</f>
        <v xml:space="preserve">  </v>
      </c>
      <c r="G1449" s="42" t="str">
        <f>IFERROR(AVERAGE(Data!G1451), "  ")</f>
        <v xml:space="preserve">  </v>
      </c>
      <c r="H1449" s="44" t="str">
        <f>IFERROR(AVERAGE(Data!H1451), "  ")</f>
        <v xml:space="preserve">  </v>
      </c>
      <c r="I1449" s="44" t="str">
        <f>IFERROR(AVERAGE(Data!I1451), "  ")</f>
        <v xml:space="preserve">  </v>
      </c>
      <c r="J1449" s="42" t="str">
        <f>IFERROR(AVERAGE(Data!J1451), "  ")</f>
        <v xml:space="preserve">  </v>
      </c>
      <c r="K1449" s="44" t="str">
        <f>IFERROR(AVERAGE(Data!K1451), "  ")</f>
        <v xml:space="preserve">  </v>
      </c>
      <c r="L1449" s="45" t="str">
        <f>IFERROR(AVERAGE(Data!L1451), "  ")</f>
        <v xml:space="preserve">  </v>
      </c>
    </row>
    <row r="1450" spans="1:12" x14ac:dyDescent="0.2">
      <c r="A1450" s="43"/>
      <c r="B1450" s="42" t="str">
        <f>IFERROR(AVERAGE(Data!B1452), "  ")</f>
        <v xml:space="preserve">  </v>
      </c>
      <c r="C1450" s="42" t="str">
        <f>IFERROR(AVERAGE(Data!C1452), "  ")</f>
        <v xml:space="preserve">  </v>
      </c>
      <c r="D1450" s="42" t="str">
        <f>IFERROR(AVERAGE(Data!D1452), "  ")</f>
        <v xml:space="preserve">  </v>
      </c>
      <c r="E1450" s="42" t="str">
        <f>IFERROR(AVERAGE(Data!E1452), "  ")</f>
        <v xml:space="preserve">  </v>
      </c>
      <c r="F1450" s="42" t="str">
        <f>IFERROR(AVERAGE(Data!F1452), "  ")</f>
        <v xml:space="preserve">  </v>
      </c>
      <c r="G1450" s="42" t="str">
        <f>IFERROR(AVERAGE(Data!G1452), "  ")</f>
        <v xml:space="preserve">  </v>
      </c>
      <c r="H1450" s="44" t="str">
        <f>IFERROR(AVERAGE(Data!H1452), "  ")</f>
        <v xml:space="preserve">  </v>
      </c>
      <c r="I1450" s="44" t="str">
        <f>IFERROR(AVERAGE(Data!I1452), "  ")</f>
        <v xml:space="preserve">  </v>
      </c>
      <c r="J1450" s="42" t="str">
        <f>IFERROR(AVERAGE(Data!J1452), "  ")</f>
        <v xml:space="preserve">  </v>
      </c>
      <c r="K1450" s="44" t="str">
        <f>IFERROR(AVERAGE(Data!K1452), "  ")</f>
        <v xml:space="preserve">  </v>
      </c>
      <c r="L1450" s="45" t="str">
        <f>IFERROR(AVERAGE(Data!L1452), "  ")</f>
        <v xml:space="preserve">  </v>
      </c>
    </row>
    <row r="1451" spans="1:12" x14ac:dyDescent="0.2">
      <c r="A1451" s="43"/>
      <c r="B1451" s="42" t="str">
        <f>IFERROR(AVERAGE(Data!B1453), "  ")</f>
        <v xml:space="preserve">  </v>
      </c>
      <c r="C1451" s="42" t="str">
        <f>IFERROR(AVERAGE(Data!C1453), "  ")</f>
        <v xml:space="preserve">  </v>
      </c>
      <c r="D1451" s="42" t="str">
        <f>IFERROR(AVERAGE(Data!D1453), "  ")</f>
        <v xml:space="preserve">  </v>
      </c>
      <c r="E1451" s="42" t="str">
        <f>IFERROR(AVERAGE(Data!E1453), "  ")</f>
        <v xml:space="preserve">  </v>
      </c>
      <c r="F1451" s="42" t="str">
        <f>IFERROR(AVERAGE(Data!F1453), "  ")</f>
        <v xml:space="preserve">  </v>
      </c>
      <c r="G1451" s="42" t="str">
        <f>IFERROR(AVERAGE(Data!G1453), "  ")</f>
        <v xml:space="preserve">  </v>
      </c>
      <c r="H1451" s="44" t="str">
        <f>IFERROR(AVERAGE(Data!H1453), "  ")</f>
        <v xml:space="preserve">  </v>
      </c>
      <c r="I1451" s="44" t="str">
        <f>IFERROR(AVERAGE(Data!I1453), "  ")</f>
        <v xml:space="preserve">  </v>
      </c>
      <c r="J1451" s="42" t="str">
        <f>IFERROR(AVERAGE(Data!J1453), "  ")</f>
        <v xml:space="preserve">  </v>
      </c>
      <c r="K1451" s="44" t="str">
        <f>IFERROR(AVERAGE(Data!K1453), "  ")</f>
        <v xml:space="preserve">  </v>
      </c>
      <c r="L1451" s="45" t="str">
        <f>IFERROR(AVERAGE(Data!L1453), "  ")</f>
        <v xml:space="preserve">  </v>
      </c>
    </row>
    <row r="1452" spans="1:12" x14ac:dyDescent="0.2">
      <c r="A1452" s="43"/>
      <c r="B1452" s="42" t="str">
        <f>IFERROR(AVERAGE(Data!B1454), "  ")</f>
        <v xml:space="preserve">  </v>
      </c>
      <c r="C1452" s="42" t="str">
        <f>IFERROR(AVERAGE(Data!C1454), "  ")</f>
        <v xml:space="preserve">  </v>
      </c>
      <c r="D1452" s="42" t="str">
        <f>IFERROR(AVERAGE(Data!D1454), "  ")</f>
        <v xml:space="preserve">  </v>
      </c>
      <c r="E1452" s="42" t="str">
        <f>IFERROR(AVERAGE(Data!E1454), "  ")</f>
        <v xml:space="preserve">  </v>
      </c>
      <c r="F1452" s="42" t="str">
        <f>IFERROR(AVERAGE(Data!F1454), "  ")</f>
        <v xml:space="preserve">  </v>
      </c>
      <c r="G1452" s="42" t="str">
        <f>IFERROR(AVERAGE(Data!G1454), "  ")</f>
        <v xml:space="preserve">  </v>
      </c>
      <c r="H1452" s="44" t="str">
        <f>IFERROR(AVERAGE(Data!H1454), "  ")</f>
        <v xml:space="preserve">  </v>
      </c>
      <c r="I1452" s="44" t="str">
        <f>IFERROR(AVERAGE(Data!I1454), "  ")</f>
        <v xml:space="preserve">  </v>
      </c>
      <c r="J1452" s="42" t="str">
        <f>IFERROR(AVERAGE(Data!J1454), "  ")</f>
        <v xml:space="preserve">  </v>
      </c>
      <c r="K1452" s="44" t="str">
        <f>IFERROR(AVERAGE(Data!K1454), "  ")</f>
        <v xml:space="preserve">  </v>
      </c>
      <c r="L1452" s="45" t="str">
        <f>IFERROR(AVERAGE(Data!L1454), "  ")</f>
        <v xml:space="preserve">  </v>
      </c>
    </row>
    <row r="1453" spans="1:12" x14ac:dyDescent="0.2">
      <c r="A1453" s="43"/>
      <c r="B1453" s="42" t="str">
        <f>IFERROR(AVERAGE(Data!B1455), "  ")</f>
        <v xml:space="preserve">  </v>
      </c>
      <c r="C1453" s="42" t="str">
        <f>IFERROR(AVERAGE(Data!C1455), "  ")</f>
        <v xml:space="preserve">  </v>
      </c>
      <c r="D1453" s="42" t="str">
        <f>IFERROR(AVERAGE(Data!D1455), "  ")</f>
        <v xml:space="preserve">  </v>
      </c>
      <c r="E1453" s="42" t="str">
        <f>IFERROR(AVERAGE(Data!E1455), "  ")</f>
        <v xml:space="preserve">  </v>
      </c>
      <c r="F1453" s="42" t="str">
        <f>IFERROR(AVERAGE(Data!F1455), "  ")</f>
        <v xml:space="preserve">  </v>
      </c>
      <c r="G1453" s="42" t="str">
        <f>IFERROR(AVERAGE(Data!G1455), "  ")</f>
        <v xml:space="preserve">  </v>
      </c>
      <c r="H1453" s="44" t="str">
        <f>IFERROR(AVERAGE(Data!H1455), "  ")</f>
        <v xml:space="preserve">  </v>
      </c>
      <c r="I1453" s="44" t="str">
        <f>IFERROR(AVERAGE(Data!I1455), "  ")</f>
        <v xml:space="preserve">  </v>
      </c>
      <c r="J1453" s="42" t="str">
        <f>IFERROR(AVERAGE(Data!J1455), "  ")</f>
        <v xml:space="preserve">  </v>
      </c>
      <c r="K1453" s="44" t="str">
        <f>IFERROR(AVERAGE(Data!K1455), "  ")</f>
        <v xml:space="preserve">  </v>
      </c>
      <c r="L1453" s="45" t="str">
        <f>IFERROR(AVERAGE(Data!L1455), "  ")</f>
        <v xml:space="preserve">  </v>
      </c>
    </row>
    <row r="1454" spans="1:12" x14ac:dyDescent="0.2">
      <c r="A1454" s="43"/>
      <c r="B1454" s="42" t="str">
        <f>IFERROR(AVERAGE(Data!B1456), "  ")</f>
        <v xml:space="preserve">  </v>
      </c>
      <c r="C1454" s="42" t="str">
        <f>IFERROR(AVERAGE(Data!C1456), "  ")</f>
        <v xml:space="preserve">  </v>
      </c>
      <c r="D1454" s="42" t="str">
        <f>IFERROR(AVERAGE(Data!D1456), "  ")</f>
        <v xml:space="preserve">  </v>
      </c>
      <c r="E1454" s="42" t="str">
        <f>IFERROR(AVERAGE(Data!E1456), "  ")</f>
        <v xml:space="preserve">  </v>
      </c>
      <c r="F1454" s="42" t="str">
        <f>IFERROR(AVERAGE(Data!F1456), "  ")</f>
        <v xml:space="preserve">  </v>
      </c>
      <c r="G1454" s="42" t="str">
        <f>IFERROR(AVERAGE(Data!G1456), "  ")</f>
        <v xml:space="preserve">  </v>
      </c>
      <c r="H1454" s="44" t="str">
        <f>IFERROR(AVERAGE(Data!H1456), "  ")</f>
        <v xml:space="preserve">  </v>
      </c>
      <c r="I1454" s="44" t="str">
        <f>IFERROR(AVERAGE(Data!I1456), "  ")</f>
        <v xml:space="preserve">  </v>
      </c>
      <c r="J1454" s="42" t="str">
        <f>IFERROR(AVERAGE(Data!J1456), "  ")</f>
        <v xml:space="preserve">  </v>
      </c>
      <c r="K1454" s="44" t="str">
        <f>IFERROR(AVERAGE(Data!K1456), "  ")</f>
        <v xml:space="preserve">  </v>
      </c>
      <c r="L1454" s="45" t="str">
        <f>IFERROR(AVERAGE(Data!L1456), "  ")</f>
        <v xml:space="preserve">  </v>
      </c>
    </row>
    <row r="1455" spans="1:12" x14ac:dyDescent="0.2">
      <c r="A1455" s="43"/>
      <c r="B1455" s="42" t="str">
        <f>IFERROR(AVERAGE(Data!B1457), "  ")</f>
        <v xml:space="preserve">  </v>
      </c>
      <c r="C1455" s="42" t="str">
        <f>IFERROR(AVERAGE(Data!C1457), "  ")</f>
        <v xml:space="preserve">  </v>
      </c>
      <c r="D1455" s="42" t="str">
        <f>IFERROR(AVERAGE(Data!D1457), "  ")</f>
        <v xml:space="preserve">  </v>
      </c>
      <c r="E1455" s="42" t="str">
        <f>IFERROR(AVERAGE(Data!E1457), "  ")</f>
        <v xml:space="preserve">  </v>
      </c>
      <c r="F1455" s="42" t="str">
        <f>IFERROR(AVERAGE(Data!F1457), "  ")</f>
        <v xml:space="preserve">  </v>
      </c>
      <c r="G1455" s="42" t="str">
        <f>IFERROR(AVERAGE(Data!G1457), "  ")</f>
        <v xml:space="preserve">  </v>
      </c>
      <c r="H1455" s="44" t="str">
        <f>IFERROR(AVERAGE(Data!H1457), "  ")</f>
        <v xml:space="preserve">  </v>
      </c>
      <c r="I1455" s="44" t="str">
        <f>IFERROR(AVERAGE(Data!I1457), "  ")</f>
        <v xml:space="preserve">  </v>
      </c>
      <c r="J1455" s="42" t="str">
        <f>IFERROR(AVERAGE(Data!J1457), "  ")</f>
        <v xml:space="preserve">  </v>
      </c>
      <c r="K1455" s="44" t="str">
        <f>IFERROR(AVERAGE(Data!K1457), "  ")</f>
        <v xml:space="preserve">  </v>
      </c>
      <c r="L1455" s="45" t="str">
        <f>IFERROR(AVERAGE(Data!L1457), "  ")</f>
        <v xml:space="preserve">  </v>
      </c>
    </row>
    <row r="1456" spans="1:12" x14ac:dyDescent="0.2">
      <c r="A1456" s="43"/>
      <c r="B1456" s="42" t="str">
        <f>IFERROR(AVERAGE(Data!B1458), "  ")</f>
        <v xml:space="preserve">  </v>
      </c>
      <c r="C1456" s="42" t="str">
        <f>IFERROR(AVERAGE(Data!C1458), "  ")</f>
        <v xml:space="preserve">  </v>
      </c>
      <c r="D1456" s="42" t="str">
        <f>IFERROR(AVERAGE(Data!D1458), "  ")</f>
        <v xml:space="preserve">  </v>
      </c>
      <c r="E1456" s="42" t="str">
        <f>IFERROR(AVERAGE(Data!E1458), "  ")</f>
        <v xml:space="preserve">  </v>
      </c>
      <c r="F1456" s="42" t="str">
        <f>IFERROR(AVERAGE(Data!F1458), "  ")</f>
        <v xml:space="preserve">  </v>
      </c>
      <c r="G1456" s="42" t="str">
        <f>IFERROR(AVERAGE(Data!G1458), "  ")</f>
        <v xml:space="preserve">  </v>
      </c>
      <c r="H1456" s="44" t="str">
        <f>IFERROR(AVERAGE(Data!H1458), "  ")</f>
        <v xml:space="preserve">  </v>
      </c>
      <c r="I1456" s="44" t="str">
        <f>IFERROR(AVERAGE(Data!I1458), "  ")</f>
        <v xml:space="preserve">  </v>
      </c>
      <c r="J1456" s="42" t="str">
        <f>IFERROR(AVERAGE(Data!J1458), "  ")</f>
        <v xml:space="preserve">  </v>
      </c>
      <c r="K1456" s="44" t="str">
        <f>IFERROR(AVERAGE(Data!K1458), "  ")</f>
        <v xml:space="preserve">  </v>
      </c>
      <c r="L1456" s="45" t="str">
        <f>IFERROR(AVERAGE(Data!L1458), "  ")</f>
        <v xml:space="preserve">  </v>
      </c>
    </row>
    <row r="1457" spans="1:12" x14ac:dyDescent="0.2">
      <c r="A1457" s="43"/>
      <c r="B1457" s="42" t="str">
        <f>IFERROR(AVERAGE(Data!B1459), "  ")</f>
        <v xml:space="preserve">  </v>
      </c>
      <c r="C1457" s="42" t="str">
        <f>IFERROR(AVERAGE(Data!C1459), "  ")</f>
        <v xml:space="preserve">  </v>
      </c>
      <c r="D1457" s="42" t="str">
        <f>IFERROR(AVERAGE(Data!D1459), "  ")</f>
        <v xml:space="preserve">  </v>
      </c>
      <c r="E1457" s="42" t="str">
        <f>IFERROR(AVERAGE(Data!E1459), "  ")</f>
        <v xml:space="preserve">  </v>
      </c>
      <c r="F1457" s="42" t="str">
        <f>IFERROR(AVERAGE(Data!F1459), "  ")</f>
        <v xml:space="preserve">  </v>
      </c>
      <c r="G1457" s="42" t="str">
        <f>IFERROR(AVERAGE(Data!G1459), "  ")</f>
        <v xml:space="preserve">  </v>
      </c>
      <c r="H1457" s="44" t="str">
        <f>IFERROR(AVERAGE(Data!H1459), "  ")</f>
        <v xml:space="preserve">  </v>
      </c>
      <c r="I1457" s="44" t="str">
        <f>IFERROR(AVERAGE(Data!I1459), "  ")</f>
        <v xml:space="preserve">  </v>
      </c>
      <c r="J1457" s="42" t="str">
        <f>IFERROR(AVERAGE(Data!J1459), "  ")</f>
        <v xml:space="preserve">  </v>
      </c>
      <c r="K1457" s="44" t="str">
        <f>IFERROR(AVERAGE(Data!K1459), "  ")</f>
        <v xml:space="preserve">  </v>
      </c>
      <c r="L1457" s="45" t="str">
        <f>IFERROR(AVERAGE(Data!L1459), "  ")</f>
        <v xml:space="preserve">  </v>
      </c>
    </row>
    <row r="1458" spans="1:12" x14ac:dyDescent="0.2">
      <c r="A1458" s="43"/>
      <c r="B1458" s="42" t="str">
        <f>IFERROR(AVERAGE(Data!B1460), "  ")</f>
        <v xml:space="preserve">  </v>
      </c>
      <c r="C1458" s="42" t="str">
        <f>IFERROR(AVERAGE(Data!C1460), "  ")</f>
        <v xml:space="preserve">  </v>
      </c>
      <c r="D1458" s="42" t="str">
        <f>IFERROR(AVERAGE(Data!D1460), "  ")</f>
        <v xml:space="preserve">  </v>
      </c>
      <c r="E1458" s="42" t="str">
        <f>IFERROR(AVERAGE(Data!E1460), "  ")</f>
        <v xml:space="preserve">  </v>
      </c>
      <c r="F1458" s="42" t="str">
        <f>IFERROR(AVERAGE(Data!F1460), "  ")</f>
        <v xml:space="preserve">  </v>
      </c>
      <c r="G1458" s="42" t="str">
        <f>IFERROR(AVERAGE(Data!G1460), "  ")</f>
        <v xml:space="preserve">  </v>
      </c>
      <c r="H1458" s="44" t="str">
        <f>IFERROR(AVERAGE(Data!H1460), "  ")</f>
        <v xml:space="preserve">  </v>
      </c>
      <c r="I1458" s="44" t="str">
        <f>IFERROR(AVERAGE(Data!I1460), "  ")</f>
        <v xml:space="preserve">  </v>
      </c>
      <c r="J1458" s="42" t="str">
        <f>IFERROR(AVERAGE(Data!J1460), "  ")</f>
        <v xml:space="preserve">  </v>
      </c>
      <c r="K1458" s="44" t="str">
        <f>IFERROR(AVERAGE(Data!K1460), "  ")</f>
        <v xml:space="preserve">  </v>
      </c>
      <c r="L1458" s="45" t="str">
        <f>IFERROR(AVERAGE(Data!L1460), "  ")</f>
        <v xml:space="preserve">  </v>
      </c>
    </row>
    <row r="1459" spans="1:12" x14ac:dyDescent="0.2">
      <c r="A1459" s="43"/>
      <c r="B1459" s="42" t="str">
        <f>IFERROR(AVERAGE(Data!B1461), "  ")</f>
        <v xml:space="preserve">  </v>
      </c>
      <c r="C1459" s="42" t="str">
        <f>IFERROR(AVERAGE(Data!C1461), "  ")</f>
        <v xml:space="preserve">  </v>
      </c>
      <c r="D1459" s="42" t="str">
        <f>IFERROR(AVERAGE(Data!D1461), "  ")</f>
        <v xml:space="preserve">  </v>
      </c>
      <c r="E1459" s="42" t="str">
        <f>IFERROR(AVERAGE(Data!E1461), "  ")</f>
        <v xml:space="preserve">  </v>
      </c>
      <c r="F1459" s="42" t="str">
        <f>IFERROR(AVERAGE(Data!F1461), "  ")</f>
        <v xml:space="preserve">  </v>
      </c>
      <c r="G1459" s="42" t="str">
        <f>IFERROR(AVERAGE(Data!G1461), "  ")</f>
        <v xml:space="preserve">  </v>
      </c>
      <c r="H1459" s="44" t="str">
        <f>IFERROR(AVERAGE(Data!H1461), "  ")</f>
        <v xml:space="preserve">  </v>
      </c>
      <c r="I1459" s="44" t="str">
        <f>IFERROR(AVERAGE(Data!I1461), "  ")</f>
        <v xml:space="preserve">  </v>
      </c>
      <c r="J1459" s="42" t="str">
        <f>IFERROR(AVERAGE(Data!J1461), "  ")</f>
        <v xml:space="preserve">  </v>
      </c>
      <c r="K1459" s="44" t="str">
        <f>IFERROR(AVERAGE(Data!K1461), "  ")</f>
        <v xml:space="preserve">  </v>
      </c>
      <c r="L1459" s="45" t="str">
        <f>IFERROR(AVERAGE(Data!L1461), "  ")</f>
        <v xml:space="preserve">  </v>
      </c>
    </row>
    <row r="1460" spans="1:12" x14ac:dyDescent="0.2">
      <c r="A1460" s="43"/>
      <c r="B1460" s="42" t="str">
        <f>IFERROR(AVERAGE(Data!B1462), "  ")</f>
        <v xml:space="preserve">  </v>
      </c>
      <c r="C1460" s="42" t="str">
        <f>IFERROR(AVERAGE(Data!C1462), "  ")</f>
        <v xml:space="preserve">  </v>
      </c>
      <c r="D1460" s="42" t="str">
        <f>IFERROR(AVERAGE(Data!D1462), "  ")</f>
        <v xml:space="preserve">  </v>
      </c>
      <c r="E1460" s="42" t="str">
        <f>IFERROR(AVERAGE(Data!E1462), "  ")</f>
        <v xml:space="preserve">  </v>
      </c>
      <c r="F1460" s="42" t="str">
        <f>IFERROR(AVERAGE(Data!F1462), "  ")</f>
        <v xml:space="preserve">  </v>
      </c>
      <c r="G1460" s="42" t="str">
        <f>IFERROR(AVERAGE(Data!G1462), "  ")</f>
        <v xml:space="preserve">  </v>
      </c>
      <c r="H1460" s="44" t="str">
        <f>IFERROR(AVERAGE(Data!H1462), "  ")</f>
        <v xml:space="preserve">  </v>
      </c>
      <c r="I1460" s="44" t="str">
        <f>IFERROR(AVERAGE(Data!I1462), "  ")</f>
        <v xml:space="preserve">  </v>
      </c>
      <c r="J1460" s="42" t="str">
        <f>IFERROR(AVERAGE(Data!J1462), "  ")</f>
        <v xml:space="preserve">  </v>
      </c>
      <c r="K1460" s="44" t="str">
        <f>IFERROR(AVERAGE(Data!K1462), "  ")</f>
        <v xml:space="preserve">  </v>
      </c>
      <c r="L1460" s="45" t="str">
        <f>IFERROR(AVERAGE(Data!L1462), "  ")</f>
        <v xml:space="preserve">  </v>
      </c>
    </row>
    <row r="1461" spans="1:12" x14ac:dyDescent="0.2">
      <c r="A1461" s="43"/>
      <c r="B1461" s="42" t="str">
        <f>IFERROR(AVERAGE(Data!B1463), "  ")</f>
        <v xml:space="preserve">  </v>
      </c>
      <c r="C1461" s="42" t="str">
        <f>IFERROR(AVERAGE(Data!C1463), "  ")</f>
        <v xml:space="preserve">  </v>
      </c>
      <c r="D1461" s="42" t="str">
        <f>IFERROR(AVERAGE(Data!D1463), "  ")</f>
        <v xml:space="preserve">  </v>
      </c>
      <c r="E1461" s="42" t="str">
        <f>IFERROR(AVERAGE(Data!E1463), "  ")</f>
        <v xml:space="preserve">  </v>
      </c>
      <c r="F1461" s="42" t="str">
        <f>IFERROR(AVERAGE(Data!F1463), "  ")</f>
        <v xml:space="preserve">  </v>
      </c>
      <c r="G1461" s="42" t="str">
        <f>IFERROR(AVERAGE(Data!G1463), "  ")</f>
        <v xml:space="preserve">  </v>
      </c>
      <c r="H1461" s="44" t="str">
        <f>IFERROR(AVERAGE(Data!H1463), "  ")</f>
        <v xml:space="preserve">  </v>
      </c>
      <c r="I1461" s="44" t="str">
        <f>IFERROR(AVERAGE(Data!I1463), "  ")</f>
        <v xml:space="preserve">  </v>
      </c>
      <c r="J1461" s="42" t="str">
        <f>IFERROR(AVERAGE(Data!J1463), "  ")</f>
        <v xml:space="preserve">  </v>
      </c>
      <c r="K1461" s="44" t="str">
        <f>IFERROR(AVERAGE(Data!K1463), "  ")</f>
        <v xml:space="preserve">  </v>
      </c>
      <c r="L1461" s="45" t="str">
        <f>IFERROR(AVERAGE(Data!L1463), "  ")</f>
        <v xml:space="preserve">  </v>
      </c>
    </row>
    <row r="1462" spans="1:12" x14ac:dyDescent="0.2">
      <c r="A1462" s="43"/>
      <c r="B1462" s="42" t="str">
        <f>IFERROR(AVERAGE(Data!B1464), "  ")</f>
        <v xml:space="preserve">  </v>
      </c>
      <c r="C1462" s="42" t="str">
        <f>IFERROR(AVERAGE(Data!C1464), "  ")</f>
        <v xml:space="preserve">  </v>
      </c>
      <c r="D1462" s="42" t="str">
        <f>IFERROR(AVERAGE(Data!D1464), "  ")</f>
        <v xml:space="preserve">  </v>
      </c>
      <c r="E1462" s="42" t="str">
        <f>IFERROR(AVERAGE(Data!E1464), "  ")</f>
        <v xml:space="preserve">  </v>
      </c>
      <c r="F1462" s="42" t="str">
        <f>IFERROR(AVERAGE(Data!F1464), "  ")</f>
        <v xml:space="preserve">  </v>
      </c>
      <c r="G1462" s="42" t="str">
        <f>IFERROR(AVERAGE(Data!G1464), "  ")</f>
        <v xml:space="preserve">  </v>
      </c>
      <c r="H1462" s="44" t="str">
        <f>IFERROR(AVERAGE(Data!H1464), "  ")</f>
        <v xml:space="preserve">  </v>
      </c>
      <c r="I1462" s="44" t="str">
        <f>IFERROR(AVERAGE(Data!I1464), "  ")</f>
        <v xml:space="preserve">  </v>
      </c>
      <c r="J1462" s="42" t="str">
        <f>IFERROR(AVERAGE(Data!J1464), "  ")</f>
        <v xml:space="preserve">  </v>
      </c>
      <c r="K1462" s="44" t="str">
        <f>IFERROR(AVERAGE(Data!K1464), "  ")</f>
        <v xml:space="preserve">  </v>
      </c>
      <c r="L1462" s="45" t="str">
        <f>IFERROR(AVERAGE(Data!L1464), "  ")</f>
        <v xml:space="preserve">  </v>
      </c>
    </row>
    <row r="1463" spans="1:12" x14ac:dyDescent="0.2">
      <c r="A1463" s="43"/>
      <c r="B1463" s="42" t="str">
        <f>IFERROR(AVERAGE(Data!B1465), "  ")</f>
        <v xml:space="preserve">  </v>
      </c>
      <c r="C1463" s="42" t="str">
        <f>IFERROR(AVERAGE(Data!C1465), "  ")</f>
        <v xml:space="preserve">  </v>
      </c>
      <c r="D1463" s="42" t="str">
        <f>IFERROR(AVERAGE(Data!D1465), "  ")</f>
        <v xml:space="preserve">  </v>
      </c>
      <c r="E1463" s="42" t="str">
        <f>IFERROR(AVERAGE(Data!E1465), "  ")</f>
        <v xml:space="preserve">  </v>
      </c>
      <c r="F1463" s="42" t="str">
        <f>IFERROR(AVERAGE(Data!F1465), "  ")</f>
        <v xml:space="preserve">  </v>
      </c>
      <c r="G1463" s="42" t="str">
        <f>IFERROR(AVERAGE(Data!G1465), "  ")</f>
        <v xml:space="preserve">  </v>
      </c>
      <c r="H1463" s="44" t="str">
        <f>IFERROR(AVERAGE(Data!H1465), "  ")</f>
        <v xml:space="preserve">  </v>
      </c>
      <c r="I1463" s="44" t="str">
        <f>IFERROR(AVERAGE(Data!I1465), "  ")</f>
        <v xml:space="preserve">  </v>
      </c>
      <c r="J1463" s="42" t="str">
        <f>IFERROR(AVERAGE(Data!J1465), "  ")</f>
        <v xml:space="preserve">  </v>
      </c>
      <c r="K1463" s="44" t="str">
        <f>IFERROR(AVERAGE(Data!K1465), "  ")</f>
        <v xml:space="preserve">  </v>
      </c>
      <c r="L1463" s="45" t="str">
        <f>IFERROR(AVERAGE(Data!L1465), "  ")</f>
        <v xml:space="preserve">  </v>
      </c>
    </row>
    <row r="1464" spans="1:12" x14ac:dyDescent="0.2">
      <c r="A1464" s="43"/>
      <c r="B1464" s="42" t="str">
        <f>IFERROR(AVERAGE(Data!B1466), "  ")</f>
        <v xml:space="preserve">  </v>
      </c>
      <c r="C1464" s="42" t="str">
        <f>IFERROR(AVERAGE(Data!C1466), "  ")</f>
        <v xml:space="preserve">  </v>
      </c>
      <c r="D1464" s="42" t="str">
        <f>IFERROR(AVERAGE(Data!D1466), "  ")</f>
        <v xml:space="preserve">  </v>
      </c>
      <c r="E1464" s="42" t="str">
        <f>IFERROR(AVERAGE(Data!E1466), "  ")</f>
        <v xml:space="preserve">  </v>
      </c>
      <c r="F1464" s="42" t="str">
        <f>IFERROR(AVERAGE(Data!F1466), "  ")</f>
        <v xml:space="preserve">  </v>
      </c>
      <c r="G1464" s="42" t="str">
        <f>IFERROR(AVERAGE(Data!G1466), "  ")</f>
        <v xml:space="preserve">  </v>
      </c>
      <c r="H1464" s="44" t="str">
        <f>IFERROR(AVERAGE(Data!H1466), "  ")</f>
        <v xml:space="preserve">  </v>
      </c>
      <c r="I1464" s="44" t="str">
        <f>IFERROR(AVERAGE(Data!I1466), "  ")</f>
        <v xml:space="preserve">  </v>
      </c>
      <c r="J1464" s="42" t="str">
        <f>IFERROR(AVERAGE(Data!J1466), "  ")</f>
        <v xml:space="preserve">  </v>
      </c>
      <c r="K1464" s="44" t="str">
        <f>IFERROR(AVERAGE(Data!K1466), "  ")</f>
        <v xml:space="preserve">  </v>
      </c>
      <c r="L1464" s="45" t="str">
        <f>IFERROR(AVERAGE(Data!L1466), "  ")</f>
        <v xml:space="preserve">  </v>
      </c>
    </row>
    <row r="1465" spans="1:12" x14ac:dyDescent="0.2">
      <c r="A1465" s="43"/>
      <c r="B1465" s="42" t="str">
        <f>IFERROR(AVERAGE(Data!B1467), "  ")</f>
        <v xml:space="preserve">  </v>
      </c>
      <c r="C1465" s="42" t="str">
        <f>IFERROR(AVERAGE(Data!C1467), "  ")</f>
        <v xml:space="preserve">  </v>
      </c>
      <c r="D1465" s="42" t="str">
        <f>IFERROR(AVERAGE(Data!D1467), "  ")</f>
        <v xml:space="preserve">  </v>
      </c>
      <c r="E1465" s="42" t="str">
        <f>IFERROR(AVERAGE(Data!E1467), "  ")</f>
        <v xml:space="preserve">  </v>
      </c>
      <c r="F1465" s="42" t="str">
        <f>IFERROR(AVERAGE(Data!F1467), "  ")</f>
        <v xml:space="preserve">  </v>
      </c>
      <c r="G1465" s="42" t="str">
        <f>IFERROR(AVERAGE(Data!G1467), "  ")</f>
        <v xml:space="preserve">  </v>
      </c>
      <c r="H1465" s="44" t="str">
        <f>IFERROR(AVERAGE(Data!H1467), "  ")</f>
        <v xml:space="preserve">  </v>
      </c>
      <c r="I1465" s="44" t="str">
        <f>IFERROR(AVERAGE(Data!I1467), "  ")</f>
        <v xml:space="preserve">  </v>
      </c>
      <c r="J1465" s="42" t="str">
        <f>IFERROR(AVERAGE(Data!J1467), "  ")</f>
        <v xml:space="preserve">  </v>
      </c>
      <c r="K1465" s="44" t="str">
        <f>IFERROR(AVERAGE(Data!K1467), "  ")</f>
        <v xml:space="preserve">  </v>
      </c>
      <c r="L1465" s="45" t="str">
        <f>IFERROR(AVERAGE(Data!L1467), "  ")</f>
        <v xml:space="preserve">  </v>
      </c>
    </row>
    <row r="1466" spans="1:12" x14ac:dyDescent="0.2">
      <c r="A1466" s="43"/>
      <c r="B1466" s="42" t="str">
        <f>IFERROR(AVERAGE(Data!B1468), "  ")</f>
        <v xml:space="preserve">  </v>
      </c>
      <c r="C1466" s="42" t="str">
        <f>IFERROR(AVERAGE(Data!C1468), "  ")</f>
        <v xml:space="preserve">  </v>
      </c>
      <c r="D1466" s="42" t="str">
        <f>IFERROR(AVERAGE(Data!D1468), "  ")</f>
        <v xml:space="preserve">  </v>
      </c>
      <c r="E1466" s="42" t="str">
        <f>IFERROR(AVERAGE(Data!E1468), "  ")</f>
        <v xml:space="preserve">  </v>
      </c>
      <c r="F1466" s="42" t="str">
        <f>IFERROR(AVERAGE(Data!F1468), "  ")</f>
        <v xml:space="preserve">  </v>
      </c>
      <c r="G1466" s="42" t="str">
        <f>IFERROR(AVERAGE(Data!G1468), "  ")</f>
        <v xml:space="preserve">  </v>
      </c>
      <c r="H1466" s="44" t="str">
        <f>IFERROR(AVERAGE(Data!H1468), "  ")</f>
        <v xml:space="preserve">  </v>
      </c>
      <c r="I1466" s="44" t="str">
        <f>IFERROR(AVERAGE(Data!I1468), "  ")</f>
        <v xml:space="preserve">  </v>
      </c>
      <c r="J1466" s="42" t="str">
        <f>IFERROR(AVERAGE(Data!J1468), "  ")</f>
        <v xml:space="preserve">  </v>
      </c>
      <c r="K1466" s="44" t="str">
        <f>IFERROR(AVERAGE(Data!K1468), "  ")</f>
        <v xml:space="preserve">  </v>
      </c>
      <c r="L1466" s="45" t="str">
        <f>IFERROR(AVERAGE(Data!L1468), "  ")</f>
        <v xml:space="preserve">  </v>
      </c>
    </row>
    <row r="1467" spans="1:12" x14ac:dyDescent="0.2">
      <c r="A1467" s="43"/>
      <c r="B1467" s="42" t="str">
        <f>IFERROR(AVERAGE(Data!B1469), "  ")</f>
        <v xml:space="preserve">  </v>
      </c>
      <c r="C1467" s="42" t="str">
        <f>IFERROR(AVERAGE(Data!C1469), "  ")</f>
        <v xml:space="preserve">  </v>
      </c>
      <c r="D1467" s="42" t="str">
        <f>IFERROR(AVERAGE(Data!D1469), "  ")</f>
        <v xml:space="preserve">  </v>
      </c>
      <c r="E1467" s="42" t="str">
        <f>IFERROR(AVERAGE(Data!E1469), "  ")</f>
        <v xml:space="preserve">  </v>
      </c>
      <c r="F1467" s="42" t="str">
        <f>IFERROR(AVERAGE(Data!F1469), "  ")</f>
        <v xml:space="preserve">  </v>
      </c>
      <c r="G1467" s="42" t="str">
        <f>IFERROR(AVERAGE(Data!G1469), "  ")</f>
        <v xml:space="preserve">  </v>
      </c>
      <c r="H1467" s="44" t="str">
        <f>IFERROR(AVERAGE(Data!H1469), "  ")</f>
        <v xml:space="preserve">  </v>
      </c>
      <c r="I1467" s="44" t="str">
        <f>IFERROR(AVERAGE(Data!I1469), "  ")</f>
        <v xml:space="preserve">  </v>
      </c>
      <c r="J1467" s="42" t="str">
        <f>IFERROR(AVERAGE(Data!J1469), "  ")</f>
        <v xml:space="preserve">  </v>
      </c>
      <c r="K1467" s="44" t="str">
        <f>IFERROR(AVERAGE(Data!K1469), "  ")</f>
        <v xml:space="preserve">  </v>
      </c>
      <c r="L1467" s="45" t="str">
        <f>IFERROR(AVERAGE(Data!L1469), "  ")</f>
        <v xml:space="preserve">  </v>
      </c>
    </row>
    <row r="1468" spans="1:12" x14ac:dyDescent="0.2">
      <c r="A1468" s="43"/>
      <c r="B1468" s="42" t="str">
        <f>IFERROR(AVERAGE(Data!B1470), "  ")</f>
        <v xml:space="preserve">  </v>
      </c>
      <c r="C1468" s="42" t="str">
        <f>IFERROR(AVERAGE(Data!C1470), "  ")</f>
        <v xml:space="preserve">  </v>
      </c>
      <c r="D1468" s="42" t="str">
        <f>IFERROR(AVERAGE(Data!D1470), "  ")</f>
        <v xml:space="preserve">  </v>
      </c>
      <c r="E1468" s="42" t="str">
        <f>IFERROR(AVERAGE(Data!E1470), "  ")</f>
        <v xml:space="preserve">  </v>
      </c>
      <c r="F1468" s="42" t="str">
        <f>IFERROR(AVERAGE(Data!F1470), "  ")</f>
        <v xml:space="preserve">  </v>
      </c>
      <c r="G1468" s="42" t="str">
        <f>IFERROR(AVERAGE(Data!G1470), "  ")</f>
        <v xml:space="preserve">  </v>
      </c>
      <c r="H1468" s="44" t="str">
        <f>IFERROR(AVERAGE(Data!H1470), "  ")</f>
        <v xml:space="preserve">  </v>
      </c>
      <c r="I1468" s="44" t="str">
        <f>IFERROR(AVERAGE(Data!I1470), "  ")</f>
        <v xml:space="preserve">  </v>
      </c>
      <c r="J1468" s="42" t="str">
        <f>IFERROR(AVERAGE(Data!J1470), "  ")</f>
        <v xml:space="preserve">  </v>
      </c>
      <c r="K1468" s="44" t="str">
        <f>IFERROR(AVERAGE(Data!K1470), "  ")</f>
        <v xml:space="preserve">  </v>
      </c>
      <c r="L1468" s="45" t="str">
        <f>IFERROR(AVERAGE(Data!L1470), "  ")</f>
        <v xml:space="preserve">  </v>
      </c>
    </row>
    <row r="1469" spans="1:12" x14ac:dyDescent="0.2">
      <c r="A1469" s="43"/>
      <c r="B1469" s="42" t="str">
        <f>IFERROR(AVERAGE(Data!B1471), "  ")</f>
        <v xml:space="preserve">  </v>
      </c>
      <c r="C1469" s="42" t="str">
        <f>IFERROR(AVERAGE(Data!C1471), "  ")</f>
        <v xml:space="preserve">  </v>
      </c>
      <c r="D1469" s="42" t="str">
        <f>IFERROR(AVERAGE(Data!D1471), "  ")</f>
        <v xml:space="preserve">  </v>
      </c>
      <c r="E1469" s="42" t="str">
        <f>IFERROR(AVERAGE(Data!E1471), "  ")</f>
        <v xml:space="preserve">  </v>
      </c>
      <c r="F1469" s="42" t="str">
        <f>IFERROR(AVERAGE(Data!F1471), "  ")</f>
        <v xml:space="preserve">  </v>
      </c>
      <c r="G1469" s="42" t="str">
        <f>IFERROR(AVERAGE(Data!G1471), "  ")</f>
        <v xml:space="preserve">  </v>
      </c>
      <c r="H1469" s="44" t="str">
        <f>IFERROR(AVERAGE(Data!H1471), "  ")</f>
        <v xml:space="preserve">  </v>
      </c>
      <c r="I1469" s="44" t="str">
        <f>IFERROR(AVERAGE(Data!I1471), "  ")</f>
        <v xml:space="preserve">  </v>
      </c>
      <c r="J1469" s="42" t="str">
        <f>IFERROR(AVERAGE(Data!J1471), "  ")</f>
        <v xml:space="preserve">  </v>
      </c>
      <c r="K1469" s="44" t="str">
        <f>IFERROR(AVERAGE(Data!K1471), "  ")</f>
        <v xml:space="preserve">  </v>
      </c>
      <c r="L1469" s="45" t="str">
        <f>IFERROR(AVERAGE(Data!L1471), "  ")</f>
        <v xml:space="preserve">  </v>
      </c>
    </row>
    <row r="1470" spans="1:12" x14ac:dyDescent="0.2">
      <c r="A1470" s="43"/>
      <c r="B1470" s="42" t="str">
        <f>IFERROR(AVERAGE(Data!B1472), "  ")</f>
        <v xml:space="preserve">  </v>
      </c>
      <c r="C1470" s="42" t="str">
        <f>IFERROR(AVERAGE(Data!C1472), "  ")</f>
        <v xml:space="preserve">  </v>
      </c>
      <c r="D1470" s="42" t="str">
        <f>IFERROR(AVERAGE(Data!D1472), "  ")</f>
        <v xml:space="preserve">  </v>
      </c>
      <c r="E1470" s="42" t="str">
        <f>IFERROR(AVERAGE(Data!E1472), "  ")</f>
        <v xml:space="preserve">  </v>
      </c>
      <c r="F1470" s="42" t="str">
        <f>IFERROR(AVERAGE(Data!F1472), "  ")</f>
        <v xml:space="preserve">  </v>
      </c>
      <c r="G1470" s="42" t="str">
        <f>IFERROR(AVERAGE(Data!G1472), "  ")</f>
        <v xml:space="preserve">  </v>
      </c>
      <c r="H1470" s="44" t="str">
        <f>IFERROR(AVERAGE(Data!H1472), "  ")</f>
        <v xml:space="preserve">  </v>
      </c>
      <c r="I1470" s="44" t="str">
        <f>IFERROR(AVERAGE(Data!I1472), "  ")</f>
        <v xml:space="preserve">  </v>
      </c>
      <c r="J1470" s="42" t="str">
        <f>IFERROR(AVERAGE(Data!J1472), "  ")</f>
        <v xml:space="preserve">  </v>
      </c>
      <c r="K1470" s="44" t="str">
        <f>IFERROR(AVERAGE(Data!K1472), "  ")</f>
        <v xml:space="preserve">  </v>
      </c>
      <c r="L1470" s="45" t="str">
        <f>IFERROR(AVERAGE(Data!L1472), "  ")</f>
        <v xml:space="preserve">  </v>
      </c>
    </row>
    <row r="1471" spans="1:12" x14ac:dyDescent="0.2">
      <c r="A1471" s="43"/>
      <c r="B1471" s="42" t="str">
        <f>IFERROR(AVERAGE(Data!B1473), "  ")</f>
        <v xml:space="preserve">  </v>
      </c>
      <c r="C1471" s="42" t="str">
        <f>IFERROR(AVERAGE(Data!C1473), "  ")</f>
        <v xml:space="preserve">  </v>
      </c>
      <c r="D1471" s="42" t="str">
        <f>IFERROR(AVERAGE(Data!D1473), "  ")</f>
        <v xml:space="preserve">  </v>
      </c>
      <c r="E1471" s="42" t="str">
        <f>IFERROR(AVERAGE(Data!E1473), "  ")</f>
        <v xml:space="preserve">  </v>
      </c>
      <c r="F1471" s="42" t="str">
        <f>IFERROR(AVERAGE(Data!F1473), "  ")</f>
        <v xml:space="preserve">  </v>
      </c>
      <c r="G1471" s="42" t="str">
        <f>IFERROR(AVERAGE(Data!G1473), "  ")</f>
        <v xml:space="preserve">  </v>
      </c>
      <c r="H1471" s="44" t="str">
        <f>IFERROR(AVERAGE(Data!H1473), "  ")</f>
        <v xml:space="preserve">  </v>
      </c>
      <c r="I1471" s="44" t="str">
        <f>IFERROR(AVERAGE(Data!I1473), "  ")</f>
        <v xml:space="preserve">  </v>
      </c>
      <c r="J1471" s="42" t="str">
        <f>IFERROR(AVERAGE(Data!J1473), "  ")</f>
        <v xml:space="preserve">  </v>
      </c>
      <c r="K1471" s="44" t="str">
        <f>IFERROR(AVERAGE(Data!K1473), "  ")</f>
        <v xml:space="preserve">  </v>
      </c>
      <c r="L1471" s="45" t="str">
        <f>IFERROR(AVERAGE(Data!L1473), "  ")</f>
        <v xml:space="preserve">  </v>
      </c>
    </row>
    <row r="1472" spans="1:12" x14ac:dyDescent="0.2">
      <c r="A1472" s="43"/>
      <c r="B1472" s="42" t="str">
        <f>IFERROR(AVERAGE(Data!B1474), "  ")</f>
        <v xml:space="preserve">  </v>
      </c>
      <c r="C1472" s="42" t="str">
        <f>IFERROR(AVERAGE(Data!C1474), "  ")</f>
        <v xml:space="preserve">  </v>
      </c>
      <c r="D1472" s="42" t="str">
        <f>IFERROR(AVERAGE(Data!D1474), "  ")</f>
        <v xml:space="preserve">  </v>
      </c>
      <c r="E1472" s="42" t="str">
        <f>IFERROR(AVERAGE(Data!E1474), "  ")</f>
        <v xml:space="preserve">  </v>
      </c>
      <c r="F1472" s="42" t="str">
        <f>IFERROR(AVERAGE(Data!F1474), "  ")</f>
        <v xml:space="preserve">  </v>
      </c>
      <c r="G1472" s="42" t="str">
        <f>IFERROR(AVERAGE(Data!G1474), "  ")</f>
        <v xml:space="preserve">  </v>
      </c>
      <c r="H1472" s="44" t="str">
        <f>IFERROR(AVERAGE(Data!H1474), "  ")</f>
        <v xml:space="preserve">  </v>
      </c>
      <c r="I1472" s="44" t="str">
        <f>IFERROR(AVERAGE(Data!I1474), "  ")</f>
        <v xml:space="preserve">  </v>
      </c>
      <c r="J1472" s="42" t="str">
        <f>IFERROR(AVERAGE(Data!J1474), "  ")</f>
        <v xml:space="preserve">  </v>
      </c>
      <c r="K1472" s="44" t="str">
        <f>IFERROR(AVERAGE(Data!K1474), "  ")</f>
        <v xml:space="preserve">  </v>
      </c>
      <c r="L1472" s="45" t="str">
        <f>IFERROR(AVERAGE(Data!L1474), "  ")</f>
        <v xml:space="preserve">  </v>
      </c>
    </row>
    <row r="1473" spans="1:12" x14ac:dyDescent="0.2">
      <c r="A1473" s="43"/>
      <c r="B1473" s="42" t="str">
        <f>IFERROR(AVERAGE(Data!B1475), "  ")</f>
        <v xml:space="preserve">  </v>
      </c>
      <c r="C1473" s="42" t="str">
        <f>IFERROR(AVERAGE(Data!C1475), "  ")</f>
        <v xml:space="preserve">  </v>
      </c>
      <c r="D1473" s="42" t="str">
        <f>IFERROR(AVERAGE(Data!D1475), "  ")</f>
        <v xml:space="preserve">  </v>
      </c>
      <c r="E1473" s="42" t="str">
        <f>IFERROR(AVERAGE(Data!E1475), "  ")</f>
        <v xml:space="preserve">  </v>
      </c>
      <c r="F1473" s="42" t="str">
        <f>IFERROR(AVERAGE(Data!F1475), "  ")</f>
        <v xml:space="preserve">  </v>
      </c>
      <c r="G1473" s="42" t="str">
        <f>IFERROR(AVERAGE(Data!G1475), "  ")</f>
        <v xml:space="preserve">  </v>
      </c>
      <c r="H1473" s="44" t="str">
        <f>IFERROR(AVERAGE(Data!H1475), "  ")</f>
        <v xml:space="preserve">  </v>
      </c>
      <c r="I1473" s="44" t="str">
        <f>IFERROR(AVERAGE(Data!I1475), "  ")</f>
        <v xml:space="preserve">  </v>
      </c>
      <c r="J1473" s="42" t="str">
        <f>IFERROR(AVERAGE(Data!J1475), "  ")</f>
        <v xml:space="preserve">  </v>
      </c>
      <c r="K1473" s="44" t="str">
        <f>IFERROR(AVERAGE(Data!K1475), "  ")</f>
        <v xml:space="preserve">  </v>
      </c>
      <c r="L1473" s="45" t="str">
        <f>IFERROR(AVERAGE(Data!L1475), "  ")</f>
        <v xml:space="preserve">  </v>
      </c>
    </row>
    <row r="1474" spans="1:12" x14ac:dyDescent="0.2">
      <c r="A1474" s="43"/>
      <c r="B1474" s="42" t="str">
        <f>IFERROR(AVERAGE(Data!B1476), "  ")</f>
        <v xml:space="preserve">  </v>
      </c>
      <c r="C1474" s="42" t="str">
        <f>IFERROR(AVERAGE(Data!C1476), "  ")</f>
        <v xml:space="preserve">  </v>
      </c>
      <c r="D1474" s="42" t="str">
        <f>IFERROR(AVERAGE(Data!D1476), "  ")</f>
        <v xml:space="preserve">  </v>
      </c>
      <c r="E1474" s="42" t="str">
        <f>IFERROR(AVERAGE(Data!E1476), "  ")</f>
        <v xml:space="preserve">  </v>
      </c>
      <c r="F1474" s="42" t="str">
        <f>IFERROR(AVERAGE(Data!F1476), "  ")</f>
        <v xml:space="preserve">  </v>
      </c>
      <c r="G1474" s="42" t="str">
        <f>IFERROR(AVERAGE(Data!G1476), "  ")</f>
        <v xml:space="preserve">  </v>
      </c>
      <c r="H1474" s="44" t="str">
        <f>IFERROR(AVERAGE(Data!H1476), "  ")</f>
        <v xml:space="preserve">  </v>
      </c>
      <c r="I1474" s="44" t="str">
        <f>IFERROR(AVERAGE(Data!I1476), "  ")</f>
        <v xml:space="preserve">  </v>
      </c>
      <c r="J1474" s="42" t="str">
        <f>IFERROR(AVERAGE(Data!J1476), "  ")</f>
        <v xml:space="preserve">  </v>
      </c>
      <c r="K1474" s="44" t="str">
        <f>IFERROR(AVERAGE(Data!K1476), "  ")</f>
        <v xml:space="preserve">  </v>
      </c>
      <c r="L1474" s="45" t="str">
        <f>IFERROR(AVERAGE(Data!L1476), "  ")</f>
        <v xml:space="preserve">  </v>
      </c>
    </row>
    <row r="1475" spans="1:12" x14ac:dyDescent="0.2">
      <c r="A1475" s="43"/>
      <c r="B1475" s="42" t="str">
        <f>IFERROR(AVERAGE(Data!B1477), "  ")</f>
        <v xml:space="preserve">  </v>
      </c>
      <c r="C1475" s="42" t="str">
        <f>IFERROR(AVERAGE(Data!C1477), "  ")</f>
        <v xml:space="preserve">  </v>
      </c>
      <c r="D1475" s="42" t="str">
        <f>IFERROR(AVERAGE(Data!D1477), "  ")</f>
        <v xml:space="preserve">  </v>
      </c>
      <c r="E1475" s="42" t="str">
        <f>IFERROR(AVERAGE(Data!E1477), "  ")</f>
        <v xml:space="preserve">  </v>
      </c>
      <c r="F1475" s="42" t="str">
        <f>IFERROR(AVERAGE(Data!F1477), "  ")</f>
        <v xml:space="preserve">  </v>
      </c>
      <c r="G1475" s="42" t="str">
        <f>IFERROR(AVERAGE(Data!G1477), "  ")</f>
        <v xml:space="preserve">  </v>
      </c>
      <c r="H1475" s="44" t="str">
        <f>IFERROR(AVERAGE(Data!H1477), "  ")</f>
        <v xml:space="preserve">  </v>
      </c>
      <c r="I1475" s="44" t="str">
        <f>IFERROR(AVERAGE(Data!I1477), "  ")</f>
        <v xml:space="preserve">  </v>
      </c>
      <c r="J1475" s="42" t="str">
        <f>IFERROR(AVERAGE(Data!J1477), "  ")</f>
        <v xml:space="preserve">  </v>
      </c>
      <c r="K1475" s="44" t="str">
        <f>IFERROR(AVERAGE(Data!K1477), "  ")</f>
        <v xml:space="preserve">  </v>
      </c>
      <c r="L1475" s="45" t="str">
        <f>IFERROR(AVERAGE(Data!L1477), "  ")</f>
        <v xml:space="preserve">  </v>
      </c>
    </row>
    <row r="1476" spans="1:12" x14ac:dyDescent="0.2">
      <c r="A1476" s="43"/>
      <c r="B1476" s="42" t="str">
        <f>IFERROR(AVERAGE(Data!B1478), "  ")</f>
        <v xml:space="preserve">  </v>
      </c>
      <c r="C1476" s="42" t="str">
        <f>IFERROR(AVERAGE(Data!C1478), "  ")</f>
        <v xml:space="preserve">  </v>
      </c>
      <c r="D1476" s="42" t="str">
        <f>IFERROR(AVERAGE(Data!D1478), "  ")</f>
        <v xml:space="preserve">  </v>
      </c>
      <c r="E1476" s="42" t="str">
        <f>IFERROR(AVERAGE(Data!E1478), "  ")</f>
        <v xml:space="preserve">  </v>
      </c>
      <c r="F1476" s="42" t="str">
        <f>IFERROR(AVERAGE(Data!F1478), "  ")</f>
        <v xml:space="preserve">  </v>
      </c>
      <c r="G1476" s="42" t="str">
        <f>IFERROR(AVERAGE(Data!G1478), "  ")</f>
        <v xml:space="preserve">  </v>
      </c>
      <c r="H1476" s="44" t="str">
        <f>IFERROR(AVERAGE(Data!H1478), "  ")</f>
        <v xml:space="preserve">  </v>
      </c>
      <c r="I1476" s="44" t="str">
        <f>IFERROR(AVERAGE(Data!I1478), "  ")</f>
        <v xml:space="preserve">  </v>
      </c>
      <c r="J1476" s="42" t="str">
        <f>IFERROR(AVERAGE(Data!J1478), "  ")</f>
        <v xml:space="preserve">  </v>
      </c>
      <c r="K1476" s="44" t="str">
        <f>IFERROR(AVERAGE(Data!K1478), "  ")</f>
        <v xml:space="preserve">  </v>
      </c>
      <c r="L1476" s="45" t="str">
        <f>IFERROR(AVERAGE(Data!L1478), "  ")</f>
        <v xml:space="preserve">  </v>
      </c>
    </row>
    <row r="1477" spans="1:12" x14ac:dyDescent="0.2">
      <c r="A1477" s="43"/>
      <c r="B1477" s="42" t="str">
        <f>IFERROR(AVERAGE(Data!B1479), "  ")</f>
        <v xml:space="preserve">  </v>
      </c>
      <c r="C1477" s="42" t="str">
        <f>IFERROR(AVERAGE(Data!C1479), "  ")</f>
        <v xml:space="preserve">  </v>
      </c>
      <c r="D1477" s="42" t="str">
        <f>IFERROR(AVERAGE(Data!D1479), "  ")</f>
        <v xml:space="preserve">  </v>
      </c>
      <c r="E1477" s="42" t="str">
        <f>IFERROR(AVERAGE(Data!E1479), "  ")</f>
        <v xml:space="preserve">  </v>
      </c>
      <c r="F1477" s="42" t="str">
        <f>IFERROR(AVERAGE(Data!F1479), "  ")</f>
        <v xml:space="preserve">  </v>
      </c>
      <c r="G1477" s="42" t="str">
        <f>IFERROR(AVERAGE(Data!G1479), "  ")</f>
        <v xml:space="preserve">  </v>
      </c>
      <c r="H1477" s="44" t="str">
        <f>IFERROR(AVERAGE(Data!H1479), "  ")</f>
        <v xml:space="preserve">  </v>
      </c>
      <c r="I1477" s="44" t="str">
        <f>IFERROR(AVERAGE(Data!I1479), "  ")</f>
        <v xml:space="preserve">  </v>
      </c>
      <c r="J1477" s="42" t="str">
        <f>IFERROR(AVERAGE(Data!J1479), "  ")</f>
        <v xml:space="preserve">  </v>
      </c>
      <c r="K1477" s="44" t="str">
        <f>IFERROR(AVERAGE(Data!K1479), "  ")</f>
        <v xml:space="preserve">  </v>
      </c>
      <c r="L1477" s="45" t="str">
        <f>IFERROR(AVERAGE(Data!L1479), "  ")</f>
        <v xml:space="preserve">  </v>
      </c>
    </row>
    <row r="1478" spans="1:12" x14ac:dyDescent="0.2">
      <c r="A1478" s="43"/>
      <c r="B1478" s="42" t="str">
        <f>IFERROR(AVERAGE(Data!B1480), "  ")</f>
        <v xml:space="preserve">  </v>
      </c>
      <c r="C1478" s="42" t="str">
        <f>IFERROR(AVERAGE(Data!C1480), "  ")</f>
        <v xml:space="preserve">  </v>
      </c>
      <c r="D1478" s="42" t="str">
        <f>IFERROR(AVERAGE(Data!D1480), "  ")</f>
        <v xml:space="preserve">  </v>
      </c>
      <c r="E1478" s="42" t="str">
        <f>IFERROR(AVERAGE(Data!E1480), "  ")</f>
        <v xml:space="preserve">  </v>
      </c>
      <c r="F1478" s="42" t="str">
        <f>IFERROR(AVERAGE(Data!F1480), "  ")</f>
        <v xml:space="preserve">  </v>
      </c>
      <c r="G1478" s="42" t="str">
        <f>IFERROR(AVERAGE(Data!G1480), "  ")</f>
        <v xml:space="preserve">  </v>
      </c>
      <c r="H1478" s="44" t="str">
        <f>IFERROR(AVERAGE(Data!H1480), "  ")</f>
        <v xml:space="preserve">  </v>
      </c>
      <c r="I1478" s="44" t="str">
        <f>IFERROR(AVERAGE(Data!I1480), "  ")</f>
        <v xml:space="preserve">  </v>
      </c>
      <c r="J1478" s="42" t="str">
        <f>IFERROR(AVERAGE(Data!J1480), "  ")</f>
        <v xml:space="preserve">  </v>
      </c>
      <c r="K1478" s="44" t="str">
        <f>IFERROR(AVERAGE(Data!K1480), "  ")</f>
        <v xml:space="preserve">  </v>
      </c>
      <c r="L1478" s="45" t="str">
        <f>IFERROR(AVERAGE(Data!L1480), "  ")</f>
        <v xml:space="preserve">  </v>
      </c>
    </row>
    <row r="1479" spans="1:12" x14ac:dyDescent="0.2">
      <c r="A1479" s="43"/>
      <c r="B1479" s="42" t="str">
        <f>IFERROR(AVERAGE(Data!B1481), "  ")</f>
        <v xml:space="preserve">  </v>
      </c>
      <c r="C1479" s="42" t="str">
        <f>IFERROR(AVERAGE(Data!C1481), "  ")</f>
        <v xml:space="preserve">  </v>
      </c>
      <c r="D1479" s="42" t="str">
        <f>IFERROR(AVERAGE(Data!D1481), "  ")</f>
        <v xml:space="preserve">  </v>
      </c>
      <c r="E1479" s="42" t="str">
        <f>IFERROR(AVERAGE(Data!E1481), "  ")</f>
        <v xml:space="preserve">  </v>
      </c>
      <c r="F1479" s="42" t="str">
        <f>IFERROR(AVERAGE(Data!F1481), "  ")</f>
        <v xml:space="preserve">  </v>
      </c>
      <c r="G1479" s="42" t="str">
        <f>IFERROR(AVERAGE(Data!G1481), "  ")</f>
        <v xml:space="preserve">  </v>
      </c>
      <c r="H1479" s="44" t="str">
        <f>IFERROR(AVERAGE(Data!H1481), "  ")</f>
        <v xml:space="preserve">  </v>
      </c>
      <c r="I1479" s="44" t="str">
        <f>IFERROR(AVERAGE(Data!I1481), "  ")</f>
        <v xml:space="preserve">  </v>
      </c>
      <c r="J1479" s="42" t="str">
        <f>IFERROR(AVERAGE(Data!J1481), "  ")</f>
        <v xml:space="preserve">  </v>
      </c>
      <c r="K1479" s="44" t="str">
        <f>IFERROR(AVERAGE(Data!K1481), "  ")</f>
        <v xml:space="preserve">  </v>
      </c>
      <c r="L1479" s="45" t="str">
        <f>IFERROR(AVERAGE(Data!L1481), "  ")</f>
        <v xml:space="preserve">  </v>
      </c>
    </row>
    <row r="1480" spans="1:12" x14ac:dyDescent="0.2">
      <c r="A1480" s="43"/>
      <c r="B1480" s="42" t="str">
        <f>IFERROR(AVERAGE(Data!B1482), "  ")</f>
        <v xml:space="preserve">  </v>
      </c>
      <c r="C1480" s="42" t="str">
        <f>IFERROR(AVERAGE(Data!C1482), "  ")</f>
        <v xml:space="preserve">  </v>
      </c>
      <c r="D1480" s="42" t="str">
        <f>IFERROR(AVERAGE(Data!D1482), "  ")</f>
        <v xml:space="preserve">  </v>
      </c>
      <c r="E1480" s="42" t="str">
        <f>IFERROR(AVERAGE(Data!E1482), "  ")</f>
        <v xml:space="preserve">  </v>
      </c>
      <c r="F1480" s="42" t="str">
        <f>IFERROR(AVERAGE(Data!F1482), "  ")</f>
        <v xml:space="preserve">  </v>
      </c>
      <c r="G1480" s="42" t="str">
        <f>IFERROR(AVERAGE(Data!G1482), "  ")</f>
        <v xml:space="preserve">  </v>
      </c>
      <c r="H1480" s="44" t="str">
        <f>IFERROR(AVERAGE(Data!H1482), "  ")</f>
        <v xml:space="preserve">  </v>
      </c>
      <c r="I1480" s="44" t="str">
        <f>IFERROR(AVERAGE(Data!I1482), "  ")</f>
        <v xml:space="preserve">  </v>
      </c>
      <c r="J1480" s="42" t="str">
        <f>IFERROR(AVERAGE(Data!J1482), "  ")</f>
        <v xml:space="preserve">  </v>
      </c>
      <c r="K1480" s="44" t="str">
        <f>IFERROR(AVERAGE(Data!K1482), "  ")</f>
        <v xml:space="preserve">  </v>
      </c>
      <c r="L1480" s="45" t="str">
        <f>IFERROR(AVERAGE(Data!L1482), "  ")</f>
        <v xml:space="preserve">  </v>
      </c>
    </row>
    <row r="1481" spans="1:12" x14ac:dyDescent="0.2">
      <c r="A1481" s="43"/>
      <c r="B1481" s="42" t="str">
        <f>IFERROR(AVERAGE(Data!B1483), "  ")</f>
        <v xml:space="preserve">  </v>
      </c>
      <c r="C1481" s="42" t="str">
        <f>IFERROR(AVERAGE(Data!C1483), "  ")</f>
        <v xml:space="preserve">  </v>
      </c>
      <c r="D1481" s="42" t="str">
        <f>IFERROR(AVERAGE(Data!D1483), "  ")</f>
        <v xml:space="preserve">  </v>
      </c>
      <c r="E1481" s="42" t="str">
        <f>IFERROR(AVERAGE(Data!E1483), "  ")</f>
        <v xml:space="preserve">  </v>
      </c>
      <c r="F1481" s="42" t="str">
        <f>IFERROR(AVERAGE(Data!F1483), "  ")</f>
        <v xml:space="preserve">  </v>
      </c>
      <c r="G1481" s="42" t="str">
        <f>IFERROR(AVERAGE(Data!G1483), "  ")</f>
        <v xml:space="preserve">  </v>
      </c>
      <c r="H1481" s="44" t="str">
        <f>IFERROR(AVERAGE(Data!H1483), "  ")</f>
        <v xml:space="preserve">  </v>
      </c>
      <c r="I1481" s="44" t="str">
        <f>IFERROR(AVERAGE(Data!I1483), "  ")</f>
        <v xml:space="preserve">  </v>
      </c>
      <c r="J1481" s="42" t="str">
        <f>IFERROR(AVERAGE(Data!J1483), "  ")</f>
        <v xml:space="preserve">  </v>
      </c>
      <c r="K1481" s="44" t="str">
        <f>IFERROR(AVERAGE(Data!K1483), "  ")</f>
        <v xml:space="preserve">  </v>
      </c>
      <c r="L1481" s="45" t="str">
        <f>IFERROR(AVERAGE(Data!L1483), "  ")</f>
        <v xml:space="preserve">  </v>
      </c>
    </row>
    <row r="1482" spans="1:12" x14ac:dyDescent="0.2">
      <c r="A1482" s="43"/>
      <c r="B1482" s="42" t="str">
        <f>IFERROR(AVERAGE(Data!B1484), "  ")</f>
        <v xml:space="preserve">  </v>
      </c>
      <c r="C1482" s="42" t="str">
        <f>IFERROR(AVERAGE(Data!C1484), "  ")</f>
        <v xml:space="preserve">  </v>
      </c>
      <c r="D1482" s="42" t="str">
        <f>IFERROR(AVERAGE(Data!D1484), "  ")</f>
        <v xml:space="preserve">  </v>
      </c>
      <c r="E1482" s="42" t="str">
        <f>IFERROR(AVERAGE(Data!E1484), "  ")</f>
        <v xml:space="preserve">  </v>
      </c>
      <c r="F1482" s="42" t="str">
        <f>IFERROR(AVERAGE(Data!F1484), "  ")</f>
        <v xml:space="preserve">  </v>
      </c>
      <c r="G1482" s="42" t="str">
        <f>IFERROR(AVERAGE(Data!G1484), "  ")</f>
        <v xml:space="preserve">  </v>
      </c>
      <c r="H1482" s="44" t="str">
        <f>IFERROR(AVERAGE(Data!H1484), "  ")</f>
        <v xml:space="preserve">  </v>
      </c>
      <c r="I1482" s="44" t="str">
        <f>IFERROR(AVERAGE(Data!I1484), "  ")</f>
        <v xml:space="preserve">  </v>
      </c>
      <c r="J1482" s="42" t="str">
        <f>IFERROR(AVERAGE(Data!J1484), "  ")</f>
        <v xml:space="preserve">  </v>
      </c>
      <c r="K1482" s="44" t="str">
        <f>IFERROR(AVERAGE(Data!K1484), "  ")</f>
        <v xml:space="preserve">  </v>
      </c>
      <c r="L1482" s="45" t="str">
        <f>IFERROR(AVERAGE(Data!L1484), "  ")</f>
        <v xml:space="preserve">  </v>
      </c>
    </row>
    <row r="1483" spans="1:12" x14ac:dyDescent="0.2">
      <c r="A1483" s="43"/>
      <c r="B1483" s="42" t="str">
        <f>IFERROR(AVERAGE(Data!B1485), "  ")</f>
        <v xml:space="preserve">  </v>
      </c>
      <c r="C1483" s="42" t="str">
        <f>IFERROR(AVERAGE(Data!C1485), "  ")</f>
        <v xml:space="preserve">  </v>
      </c>
      <c r="D1483" s="42" t="str">
        <f>IFERROR(AVERAGE(Data!D1485), "  ")</f>
        <v xml:space="preserve">  </v>
      </c>
      <c r="E1483" s="42" t="str">
        <f>IFERROR(AVERAGE(Data!E1485), "  ")</f>
        <v xml:space="preserve">  </v>
      </c>
      <c r="F1483" s="42" t="str">
        <f>IFERROR(AVERAGE(Data!F1485), "  ")</f>
        <v xml:space="preserve">  </v>
      </c>
      <c r="G1483" s="42" t="str">
        <f>IFERROR(AVERAGE(Data!G1485), "  ")</f>
        <v xml:space="preserve">  </v>
      </c>
      <c r="H1483" s="44" t="str">
        <f>IFERROR(AVERAGE(Data!H1485), "  ")</f>
        <v xml:space="preserve">  </v>
      </c>
      <c r="I1483" s="44" t="str">
        <f>IFERROR(AVERAGE(Data!I1485), "  ")</f>
        <v xml:space="preserve">  </v>
      </c>
      <c r="J1483" s="42" t="str">
        <f>IFERROR(AVERAGE(Data!J1485), "  ")</f>
        <v xml:space="preserve">  </v>
      </c>
      <c r="K1483" s="44" t="str">
        <f>IFERROR(AVERAGE(Data!K1485), "  ")</f>
        <v xml:space="preserve">  </v>
      </c>
      <c r="L1483" s="45" t="str">
        <f>IFERROR(AVERAGE(Data!L1485), "  ")</f>
        <v xml:space="preserve">  </v>
      </c>
    </row>
    <row r="1484" spans="1:12" x14ac:dyDescent="0.2">
      <c r="A1484" s="43"/>
      <c r="B1484" s="42" t="str">
        <f>IFERROR(AVERAGE(Data!B1486), "  ")</f>
        <v xml:space="preserve">  </v>
      </c>
      <c r="C1484" s="42" t="str">
        <f>IFERROR(AVERAGE(Data!C1486), "  ")</f>
        <v xml:space="preserve">  </v>
      </c>
      <c r="D1484" s="42" t="str">
        <f>IFERROR(AVERAGE(Data!D1486), "  ")</f>
        <v xml:space="preserve">  </v>
      </c>
      <c r="E1484" s="42" t="str">
        <f>IFERROR(AVERAGE(Data!E1486), "  ")</f>
        <v xml:space="preserve">  </v>
      </c>
      <c r="F1484" s="42" t="str">
        <f>IFERROR(AVERAGE(Data!F1486), "  ")</f>
        <v xml:space="preserve">  </v>
      </c>
      <c r="G1484" s="42" t="str">
        <f>IFERROR(AVERAGE(Data!G1486), "  ")</f>
        <v xml:space="preserve">  </v>
      </c>
      <c r="H1484" s="44" t="str">
        <f>IFERROR(AVERAGE(Data!H1486), "  ")</f>
        <v xml:space="preserve">  </v>
      </c>
      <c r="I1484" s="44" t="str">
        <f>IFERROR(AVERAGE(Data!I1486), "  ")</f>
        <v xml:space="preserve">  </v>
      </c>
      <c r="J1484" s="42" t="str">
        <f>IFERROR(AVERAGE(Data!J1486), "  ")</f>
        <v xml:space="preserve">  </v>
      </c>
      <c r="K1484" s="44" t="str">
        <f>IFERROR(AVERAGE(Data!K1486), "  ")</f>
        <v xml:space="preserve">  </v>
      </c>
      <c r="L1484" s="45" t="str">
        <f>IFERROR(AVERAGE(Data!L1486), "  ")</f>
        <v xml:space="preserve">  </v>
      </c>
    </row>
    <row r="1485" spans="1:12" x14ac:dyDescent="0.2">
      <c r="A1485" s="43"/>
      <c r="B1485" s="42" t="str">
        <f>IFERROR(AVERAGE(Data!B1487), "  ")</f>
        <v xml:space="preserve">  </v>
      </c>
      <c r="C1485" s="42" t="str">
        <f>IFERROR(AVERAGE(Data!C1487), "  ")</f>
        <v xml:space="preserve">  </v>
      </c>
      <c r="D1485" s="42" t="str">
        <f>IFERROR(AVERAGE(Data!D1487), "  ")</f>
        <v xml:space="preserve">  </v>
      </c>
      <c r="E1485" s="42" t="str">
        <f>IFERROR(AVERAGE(Data!E1487), "  ")</f>
        <v xml:space="preserve">  </v>
      </c>
      <c r="F1485" s="42" t="str">
        <f>IFERROR(AVERAGE(Data!F1487), "  ")</f>
        <v xml:space="preserve">  </v>
      </c>
      <c r="G1485" s="42" t="str">
        <f>IFERROR(AVERAGE(Data!G1487), "  ")</f>
        <v xml:space="preserve">  </v>
      </c>
      <c r="H1485" s="44" t="str">
        <f>IFERROR(AVERAGE(Data!H1487), "  ")</f>
        <v xml:space="preserve">  </v>
      </c>
      <c r="I1485" s="44" t="str">
        <f>IFERROR(AVERAGE(Data!I1487), "  ")</f>
        <v xml:space="preserve">  </v>
      </c>
      <c r="J1485" s="42" t="str">
        <f>IFERROR(AVERAGE(Data!J1487), "  ")</f>
        <v xml:space="preserve">  </v>
      </c>
      <c r="K1485" s="44" t="str">
        <f>IFERROR(AVERAGE(Data!K1487), "  ")</f>
        <v xml:space="preserve">  </v>
      </c>
      <c r="L1485" s="45" t="str">
        <f>IFERROR(AVERAGE(Data!L1487), "  ")</f>
        <v xml:space="preserve">  </v>
      </c>
    </row>
    <row r="1486" spans="1:12" x14ac:dyDescent="0.2">
      <c r="A1486" s="43"/>
      <c r="B1486" s="42" t="str">
        <f>IFERROR(AVERAGE(Data!B1488), "  ")</f>
        <v xml:space="preserve">  </v>
      </c>
      <c r="C1486" s="42" t="str">
        <f>IFERROR(AVERAGE(Data!C1488), "  ")</f>
        <v xml:space="preserve">  </v>
      </c>
      <c r="D1486" s="42" t="str">
        <f>IFERROR(AVERAGE(Data!D1488), "  ")</f>
        <v xml:space="preserve">  </v>
      </c>
      <c r="E1486" s="42" t="str">
        <f>IFERROR(AVERAGE(Data!E1488), "  ")</f>
        <v xml:space="preserve">  </v>
      </c>
      <c r="F1486" s="42" t="str">
        <f>IFERROR(AVERAGE(Data!F1488), "  ")</f>
        <v xml:space="preserve">  </v>
      </c>
      <c r="G1486" s="42" t="str">
        <f>IFERROR(AVERAGE(Data!G1488), "  ")</f>
        <v xml:space="preserve">  </v>
      </c>
      <c r="H1486" s="44" t="str">
        <f>IFERROR(AVERAGE(Data!H1488), "  ")</f>
        <v xml:space="preserve">  </v>
      </c>
      <c r="I1486" s="44" t="str">
        <f>IFERROR(AVERAGE(Data!I1488), "  ")</f>
        <v xml:space="preserve">  </v>
      </c>
      <c r="J1486" s="42" t="str">
        <f>IFERROR(AVERAGE(Data!J1488), "  ")</f>
        <v xml:space="preserve">  </v>
      </c>
      <c r="K1486" s="44" t="str">
        <f>IFERROR(AVERAGE(Data!K1488), "  ")</f>
        <v xml:space="preserve">  </v>
      </c>
      <c r="L1486" s="45" t="str">
        <f>IFERROR(AVERAGE(Data!L1488), "  ")</f>
        <v xml:space="preserve">  </v>
      </c>
    </row>
    <row r="1487" spans="1:12" x14ac:dyDescent="0.2">
      <c r="A1487" s="43"/>
      <c r="B1487" s="42" t="str">
        <f>IFERROR(AVERAGE(Data!B1489), "  ")</f>
        <v xml:space="preserve">  </v>
      </c>
      <c r="C1487" s="42" t="str">
        <f>IFERROR(AVERAGE(Data!C1489), "  ")</f>
        <v xml:space="preserve">  </v>
      </c>
      <c r="D1487" s="42" t="str">
        <f>IFERROR(AVERAGE(Data!D1489), "  ")</f>
        <v xml:space="preserve">  </v>
      </c>
      <c r="E1487" s="42" t="str">
        <f>IFERROR(AVERAGE(Data!E1489), "  ")</f>
        <v xml:space="preserve">  </v>
      </c>
      <c r="F1487" s="42" t="str">
        <f>IFERROR(AVERAGE(Data!F1489), "  ")</f>
        <v xml:space="preserve">  </v>
      </c>
      <c r="G1487" s="42" t="str">
        <f>IFERROR(AVERAGE(Data!G1489), "  ")</f>
        <v xml:space="preserve">  </v>
      </c>
      <c r="H1487" s="44" t="str">
        <f>IFERROR(AVERAGE(Data!H1489), "  ")</f>
        <v xml:space="preserve">  </v>
      </c>
      <c r="I1487" s="44" t="str">
        <f>IFERROR(AVERAGE(Data!I1489), "  ")</f>
        <v xml:space="preserve">  </v>
      </c>
      <c r="J1487" s="42" t="str">
        <f>IFERROR(AVERAGE(Data!J1489), "  ")</f>
        <v xml:space="preserve">  </v>
      </c>
      <c r="K1487" s="44" t="str">
        <f>IFERROR(AVERAGE(Data!K1489), "  ")</f>
        <v xml:space="preserve">  </v>
      </c>
      <c r="L1487" s="45" t="str">
        <f>IFERROR(AVERAGE(Data!L1489), "  ")</f>
        <v xml:space="preserve">  </v>
      </c>
    </row>
    <row r="1488" spans="1:12" x14ac:dyDescent="0.2">
      <c r="A1488" s="43"/>
      <c r="B1488" s="42" t="str">
        <f>IFERROR(AVERAGE(Data!B1490), "  ")</f>
        <v xml:space="preserve">  </v>
      </c>
      <c r="C1488" s="42" t="str">
        <f>IFERROR(AVERAGE(Data!C1490), "  ")</f>
        <v xml:space="preserve">  </v>
      </c>
      <c r="D1488" s="42" t="str">
        <f>IFERROR(AVERAGE(Data!D1490), "  ")</f>
        <v xml:space="preserve">  </v>
      </c>
      <c r="E1488" s="42" t="str">
        <f>IFERROR(AVERAGE(Data!E1490), "  ")</f>
        <v xml:space="preserve">  </v>
      </c>
      <c r="F1488" s="42" t="str">
        <f>IFERROR(AVERAGE(Data!F1490), "  ")</f>
        <v xml:space="preserve">  </v>
      </c>
      <c r="G1488" s="42" t="str">
        <f>IFERROR(AVERAGE(Data!G1490), "  ")</f>
        <v xml:space="preserve">  </v>
      </c>
      <c r="H1488" s="44" t="str">
        <f>IFERROR(AVERAGE(Data!H1490), "  ")</f>
        <v xml:space="preserve">  </v>
      </c>
      <c r="I1488" s="44" t="str">
        <f>IFERROR(AVERAGE(Data!I1490), "  ")</f>
        <v xml:space="preserve">  </v>
      </c>
      <c r="J1488" s="42" t="str">
        <f>IFERROR(AVERAGE(Data!J1490), "  ")</f>
        <v xml:space="preserve">  </v>
      </c>
      <c r="K1488" s="44" t="str">
        <f>IFERROR(AVERAGE(Data!K1490), "  ")</f>
        <v xml:space="preserve">  </v>
      </c>
      <c r="L1488" s="45" t="str">
        <f>IFERROR(AVERAGE(Data!L1490), "  ")</f>
        <v xml:space="preserve">  </v>
      </c>
    </row>
    <row r="1489" spans="1:12" x14ac:dyDescent="0.2">
      <c r="A1489" s="43"/>
      <c r="B1489" s="42" t="str">
        <f>IFERROR(AVERAGE(Data!B1491), "  ")</f>
        <v xml:space="preserve">  </v>
      </c>
      <c r="C1489" s="42" t="str">
        <f>IFERROR(AVERAGE(Data!C1491), "  ")</f>
        <v xml:space="preserve">  </v>
      </c>
      <c r="D1489" s="42" t="str">
        <f>IFERROR(AVERAGE(Data!D1491), "  ")</f>
        <v xml:space="preserve">  </v>
      </c>
      <c r="E1489" s="42" t="str">
        <f>IFERROR(AVERAGE(Data!E1491), "  ")</f>
        <v xml:space="preserve">  </v>
      </c>
      <c r="F1489" s="42" t="str">
        <f>IFERROR(AVERAGE(Data!F1491), "  ")</f>
        <v xml:space="preserve">  </v>
      </c>
      <c r="G1489" s="42" t="str">
        <f>IFERROR(AVERAGE(Data!G1491), "  ")</f>
        <v xml:space="preserve">  </v>
      </c>
      <c r="H1489" s="44" t="str">
        <f>IFERROR(AVERAGE(Data!H1491), "  ")</f>
        <v xml:space="preserve">  </v>
      </c>
      <c r="I1489" s="44" t="str">
        <f>IFERROR(AVERAGE(Data!I1491), "  ")</f>
        <v xml:space="preserve">  </v>
      </c>
      <c r="J1489" s="42" t="str">
        <f>IFERROR(AVERAGE(Data!J1491), "  ")</f>
        <v xml:space="preserve">  </v>
      </c>
      <c r="K1489" s="44" t="str">
        <f>IFERROR(AVERAGE(Data!K1491), "  ")</f>
        <v xml:space="preserve">  </v>
      </c>
      <c r="L1489" s="45" t="str">
        <f>IFERROR(AVERAGE(Data!L1491), "  ")</f>
        <v xml:space="preserve">  </v>
      </c>
    </row>
    <row r="1490" spans="1:12" x14ac:dyDescent="0.2">
      <c r="A1490" s="43"/>
      <c r="B1490" s="42" t="str">
        <f>IFERROR(AVERAGE(Data!B1492), "  ")</f>
        <v xml:space="preserve">  </v>
      </c>
      <c r="C1490" s="42" t="str">
        <f>IFERROR(AVERAGE(Data!C1492), "  ")</f>
        <v xml:space="preserve">  </v>
      </c>
      <c r="D1490" s="42" t="str">
        <f>IFERROR(AVERAGE(Data!D1492), "  ")</f>
        <v xml:space="preserve">  </v>
      </c>
      <c r="E1490" s="42" t="str">
        <f>IFERROR(AVERAGE(Data!E1492), "  ")</f>
        <v xml:space="preserve">  </v>
      </c>
      <c r="F1490" s="42" t="str">
        <f>IFERROR(AVERAGE(Data!F1492), "  ")</f>
        <v xml:space="preserve">  </v>
      </c>
      <c r="G1490" s="42" t="str">
        <f>IFERROR(AVERAGE(Data!G1492), "  ")</f>
        <v xml:space="preserve">  </v>
      </c>
      <c r="H1490" s="44" t="str">
        <f>IFERROR(AVERAGE(Data!H1492), "  ")</f>
        <v xml:space="preserve">  </v>
      </c>
      <c r="I1490" s="44" t="str">
        <f>IFERROR(AVERAGE(Data!I1492), "  ")</f>
        <v xml:space="preserve">  </v>
      </c>
      <c r="J1490" s="42" t="str">
        <f>IFERROR(AVERAGE(Data!J1492), "  ")</f>
        <v xml:space="preserve">  </v>
      </c>
      <c r="K1490" s="44" t="str">
        <f>IFERROR(AVERAGE(Data!K1492), "  ")</f>
        <v xml:space="preserve">  </v>
      </c>
      <c r="L1490" s="45" t="str">
        <f>IFERROR(AVERAGE(Data!L1492), "  ")</f>
        <v xml:space="preserve">  </v>
      </c>
    </row>
    <row r="1491" spans="1:12" x14ac:dyDescent="0.2">
      <c r="A1491" s="43"/>
      <c r="B1491" s="42" t="str">
        <f>IFERROR(AVERAGE(Data!B1493), "  ")</f>
        <v xml:space="preserve">  </v>
      </c>
      <c r="C1491" s="42" t="str">
        <f>IFERROR(AVERAGE(Data!C1493), "  ")</f>
        <v xml:space="preserve">  </v>
      </c>
      <c r="D1491" s="42" t="str">
        <f>IFERROR(AVERAGE(Data!D1493), "  ")</f>
        <v xml:space="preserve">  </v>
      </c>
      <c r="E1491" s="42" t="str">
        <f>IFERROR(AVERAGE(Data!E1493), "  ")</f>
        <v xml:space="preserve">  </v>
      </c>
      <c r="F1491" s="42" t="str">
        <f>IFERROR(AVERAGE(Data!F1493), "  ")</f>
        <v xml:space="preserve">  </v>
      </c>
      <c r="G1491" s="42" t="str">
        <f>IFERROR(AVERAGE(Data!G1493), "  ")</f>
        <v xml:space="preserve">  </v>
      </c>
      <c r="H1491" s="44" t="str">
        <f>IFERROR(AVERAGE(Data!H1493), "  ")</f>
        <v xml:space="preserve">  </v>
      </c>
      <c r="I1491" s="44" t="str">
        <f>IFERROR(AVERAGE(Data!I1493), "  ")</f>
        <v xml:space="preserve">  </v>
      </c>
      <c r="J1491" s="42" t="str">
        <f>IFERROR(AVERAGE(Data!J1493), "  ")</f>
        <v xml:space="preserve">  </v>
      </c>
      <c r="K1491" s="44" t="str">
        <f>IFERROR(AVERAGE(Data!K1493), "  ")</f>
        <v xml:space="preserve">  </v>
      </c>
      <c r="L1491" s="45" t="str">
        <f>IFERROR(AVERAGE(Data!L1493), "  ")</f>
        <v xml:space="preserve">  </v>
      </c>
    </row>
    <row r="1492" spans="1:12" x14ac:dyDescent="0.2">
      <c r="A1492" s="43"/>
      <c r="B1492" s="42" t="str">
        <f>IFERROR(AVERAGE(Data!B1494), "  ")</f>
        <v xml:space="preserve">  </v>
      </c>
      <c r="C1492" s="42" t="str">
        <f>IFERROR(AVERAGE(Data!C1494), "  ")</f>
        <v xml:space="preserve">  </v>
      </c>
      <c r="D1492" s="42" t="str">
        <f>IFERROR(AVERAGE(Data!D1494), "  ")</f>
        <v xml:space="preserve">  </v>
      </c>
      <c r="E1492" s="42" t="str">
        <f>IFERROR(AVERAGE(Data!E1494), "  ")</f>
        <v xml:space="preserve">  </v>
      </c>
      <c r="F1492" s="42" t="str">
        <f>IFERROR(AVERAGE(Data!F1494), "  ")</f>
        <v xml:space="preserve">  </v>
      </c>
      <c r="G1492" s="42" t="str">
        <f>IFERROR(AVERAGE(Data!G1494), "  ")</f>
        <v xml:space="preserve">  </v>
      </c>
      <c r="H1492" s="44" t="str">
        <f>IFERROR(AVERAGE(Data!H1494), "  ")</f>
        <v xml:space="preserve">  </v>
      </c>
      <c r="I1492" s="44" t="str">
        <f>IFERROR(AVERAGE(Data!I1494), "  ")</f>
        <v xml:space="preserve">  </v>
      </c>
      <c r="J1492" s="42" t="str">
        <f>IFERROR(AVERAGE(Data!J1494), "  ")</f>
        <v xml:space="preserve">  </v>
      </c>
      <c r="K1492" s="44" t="str">
        <f>IFERROR(AVERAGE(Data!K1494), "  ")</f>
        <v xml:space="preserve">  </v>
      </c>
      <c r="L1492" s="45" t="str">
        <f>IFERROR(AVERAGE(Data!L1494), "  ")</f>
        <v xml:space="preserve">  </v>
      </c>
    </row>
    <row r="1493" spans="1:12" x14ac:dyDescent="0.2">
      <c r="A1493" s="43"/>
      <c r="B1493" s="42" t="str">
        <f>IFERROR(AVERAGE(Data!B1495), "  ")</f>
        <v xml:space="preserve">  </v>
      </c>
      <c r="C1493" s="42" t="str">
        <f>IFERROR(AVERAGE(Data!C1495), "  ")</f>
        <v xml:space="preserve">  </v>
      </c>
      <c r="D1493" s="42" t="str">
        <f>IFERROR(AVERAGE(Data!D1495), "  ")</f>
        <v xml:space="preserve">  </v>
      </c>
      <c r="E1493" s="42" t="str">
        <f>IFERROR(AVERAGE(Data!E1495), "  ")</f>
        <v xml:space="preserve">  </v>
      </c>
      <c r="F1493" s="42" t="str">
        <f>IFERROR(AVERAGE(Data!F1495), "  ")</f>
        <v xml:space="preserve">  </v>
      </c>
      <c r="G1493" s="42" t="str">
        <f>IFERROR(AVERAGE(Data!G1495), "  ")</f>
        <v xml:space="preserve">  </v>
      </c>
      <c r="H1493" s="44" t="str">
        <f>IFERROR(AVERAGE(Data!H1495), "  ")</f>
        <v xml:space="preserve">  </v>
      </c>
      <c r="I1493" s="44" t="str">
        <f>IFERROR(AVERAGE(Data!I1495), "  ")</f>
        <v xml:space="preserve">  </v>
      </c>
      <c r="J1493" s="42" t="str">
        <f>IFERROR(AVERAGE(Data!J1495), "  ")</f>
        <v xml:space="preserve">  </v>
      </c>
      <c r="K1493" s="44" t="str">
        <f>IFERROR(AVERAGE(Data!K1495), "  ")</f>
        <v xml:space="preserve">  </v>
      </c>
      <c r="L1493" s="45" t="str">
        <f>IFERROR(AVERAGE(Data!L1495), "  ")</f>
        <v xml:space="preserve">  </v>
      </c>
    </row>
    <row r="1494" spans="1:12" x14ac:dyDescent="0.2">
      <c r="A1494" s="43"/>
      <c r="B1494" s="42" t="str">
        <f>IFERROR(AVERAGE(Data!B1496), "  ")</f>
        <v xml:space="preserve">  </v>
      </c>
      <c r="C1494" s="42" t="str">
        <f>IFERROR(AVERAGE(Data!C1496), "  ")</f>
        <v xml:space="preserve">  </v>
      </c>
      <c r="D1494" s="42" t="str">
        <f>IFERROR(AVERAGE(Data!D1496), "  ")</f>
        <v xml:space="preserve">  </v>
      </c>
      <c r="E1494" s="42" t="str">
        <f>IFERROR(AVERAGE(Data!E1496), "  ")</f>
        <v xml:space="preserve">  </v>
      </c>
      <c r="F1494" s="42" t="str">
        <f>IFERROR(AVERAGE(Data!F1496), "  ")</f>
        <v xml:space="preserve">  </v>
      </c>
      <c r="G1494" s="42" t="str">
        <f>IFERROR(AVERAGE(Data!G1496), "  ")</f>
        <v xml:space="preserve">  </v>
      </c>
      <c r="H1494" s="44" t="str">
        <f>IFERROR(AVERAGE(Data!H1496), "  ")</f>
        <v xml:space="preserve">  </v>
      </c>
      <c r="I1494" s="44" t="str">
        <f>IFERROR(AVERAGE(Data!I1496), "  ")</f>
        <v xml:space="preserve">  </v>
      </c>
      <c r="J1494" s="42" t="str">
        <f>IFERROR(AVERAGE(Data!J1496), "  ")</f>
        <v xml:space="preserve">  </v>
      </c>
      <c r="K1494" s="44" t="str">
        <f>IFERROR(AVERAGE(Data!K1496), "  ")</f>
        <v xml:space="preserve">  </v>
      </c>
      <c r="L1494" s="45" t="str">
        <f>IFERROR(AVERAGE(Data!L1496), "  ")</f>
        <v xml:space="preserve">  </v>
      </c>
    </row>
    <row r="1495" spans="1:12" x14ac:dyDescent="0.2">
      <c r="A1495" s="43"/>
      <c r="B1495" s="42" t="str">
        <f>IFERROR(AVERAGE(Data!B1497), "  ")</f>
        <v xml:space="preserve">  </v>
      </c>
      <c r="C1495" s="42" t="str">
        <f>IFERROR(AVERAGE(Data!C1497), "  ")</f>
        <v xml:space="preserve">  </v>
      </c>
      <c r="D1495" s="42" t="str">
        <f>IFERROR(AVERAGE(Data!D1497), "  ")</f>
        <v xml:space="preserve">  </v>
      </c>
      <c r="E1495" s="42" t="str">
        <f>IFERROR(AVERAGE(Data!E1497), "  ")</f>
        <v xml:space="preserve">  </v>
      </c>
      <c r="F1495" s="42" t="str">
        <f>IFERROR(AVERAGE(Data!F1497), "  ")</f>
        <v xml:space="preserve">  </v>
      </c>
      <c r="G1495" s="42" t="str">
        <f>IFERROR(AVERAGE(Data!G1497), "  ")</f>
        <v xml:space="preserve">  </v>
      </c>
      <c r="H1495" s="44" t="str">
        <f>IFERROR(AVERAGE(Data!H1497), "  ")</f>
        <v xml:space="preserve">  </v>
      </c>
      <c r="I1495" s="44" t="str">
        <f>IFERROR(AVERAGE(Data!I1497), "  ")</f>
        <v xml:space="preserve">  </v>
      </c>
      <c r="J1495" s="42" t="str">
        <f>IFERROR(AVERAGE(Data!J1497), "  ")</f>
        <v xml:space="preserve">  </v>
      </c>
      <c r="K1495" s="44" t="str">
        <f>IFERROR(AVERAGE(Data!K1497), "  ")</f>
        <v xml:space="preserve">  </v>
      </c>
      <c r="L1495" s="45" t="str">
        <f>IFERROR(AVERAGE(Data!L1497), "  ")</f>
        <v xml:space="preserve">  </v>
      </c>
    </row>
    <row r="1496" spans="1:12" x14ac:dyDescent="0.2">
      <c r="A1496" s="43"/>
      <c r="B1496" s="42" t="str">
        <f>IFERROR(AVERAGE(Data!B1498), "  ")</f>
        <v xml:space="preserve">  </v>
      </c>
      <c r="C1496" s="42" t="str">
        <f>IFERROR(AVERAGE(Data!C1498), "  ")</f>
        <v xml:space="preserve">  </v>
      </c>
      <c r="D1496" s="42" t="str">
        <f>IFERROR(AVERAGE(Data!D1498), "  ")</f>
        <v xml:space="preserve">  </v>
      </c>
      <c r="E1496" s="42" t="str">
        <f>IFERROR(AVERAGE(Data!E1498), "  ")</f>
        <v xml:space="preserve">  </v>
      </c>
      <c r="F1496" s="42" t="str">
        <f>IFERROR(AVERAGE(Data!F1498), "  ")</f>
        <v xml:space="preserve">  </v>
      </c>
      <c r="G1496" s="42" t="str">
        <f>IFERROR(AVERAGE(Data!G1498), "  ")</f>
        <v xml:space="preserve">  </v>
      </c>
      <c r="H1496" s="44" t="str">
        <f>IFERROR(AVERAGE(Data!H1498), "  ")</f>
        <v xml:space="preserve">  </v>
      </c>
      <c r="I1496" s="44" t="str">
        <f>IFERROR(AVERAGE(Data!I1498), "  ")</f>
        <v xml:space="preserve">  </v>
      </c>
      <c r="J1496" s="42" t="str">
        <f>IFERROR(AVERAGE(Data!J1498), "  ")</f>
        <v xml:space="preserve">  </v>
      </c>
      <c r="K1496" s="44" t="str">
        <f>IFERROR(AVERAGE(Data!K1498), "  ")</f>
        <v xml:space="preserve">  </v>
      </c>
      <c r="L1496" s="45" t="str">
        <f>IFERROR(AVERAGE(Data!L1498), "  ")</f>
        <v xml:space="preserve">  </v>
      </c>
    </row>
    <row r="1497" spans="1:12" x14ac:dyDescent="0.2">
      <c r="A1497" s="43"/>
      <c r="B1497" s="42" t="str">
        <f>IFERROR(AVERAGE(Data!B1499), "  ")</f>
        <v xml:space="preserve">  </v>
      </c>
      <c r="C1497" s="42" t="str">
        <f>IFERROR(AVERAGE(Data!C1499), "  ")</f>
        <v xml:space="preserve">  </v>
      </c>
      <c r="D1497" s="42" t="str">
        <f>IFERROR(AVERAGE(Data!D1499), "  ")</f>
        <v xml:space="preserve">  </v>
      </c>
      <c r="E1497" s="42" t="str">
        <f>IFERROR(AVERAGE(Data!E1499), "  ")</f>
        <v xml:space="preserve">  </v>
      </c>
      <c r="F1497" s="42" t="str">
        <f>IFERROR(AVERAGE(Data!F1499), "  ")</f>
        <v xml:space="preserve">  </v>
      </c>
      <c r="G1497" s="42" t="str">
        <f>IFERROR(AVERAGE(Data!G1499), "  ")</f>
        <v xml:space="preserve">  </v>
      </c>
      <c r="H1497" s="44" t="str">
        <f>IFERROR(AVERAGE(Data!H1499), "  ")</f>
        <v xml:space="preserve">  </v>
      </c>
      <c r="I1497" s="44" t="str">
        <f>IFERROR(AVERAGE(Data!I1499), "  ")</f>
        <v xml:space="preserve">  </v>
      </c>
      <c r="J1497" s="42" t="str">
        <f>IFERROR(AVERAGE(Data!J1499), "  ")</f>
        <v xml:space="preserve">  </v>
      </c>
      <c r="K1497" s="44" t="str">
        <f>IFERROR(AVERAGE(Data!K1499), "  ")</f>
        <v xml:space="preserve">  </v>
      </c>
      <c r="L1497" s="45" t="str">
        <f>IFERROR(AVERAGE(Data!L1499), "  ")</f>
        <v xml:space="preserve">  </v>
      </c>
    </row>
    <row r="1498" spans="1:12" x14ac:dyDescent="0.2">
      <c r="A1498" s="43"/>
      <c r="B1498" s="42" t="str">
        <f>IFERROR(AVERAGE(Data!B1500), "  ")</f>
        <v xml:space="preserve">  </v>
      </c>
      <c r="C1498" s="42" t="str">
        <f>IFERROR(AVERAGE(Data!C1500), "  ")</f>
        <v xml:space="preserve">  </v>
      </c>
      <c r="D1498" s="42" t="str">
        <f>IFERROR(AVERAGE(Data!D1500), "  ")</f>
        <v xml:space="preserve">  </v>
      </c>
      <c r="E1498" s="42" t="str">
        <f>IFERROR(AVERAGE(Data!E1500), "  ")</f>
        <v xml:space="preserve">  </v>
      </c>
      <c r="F1498" s="42" t="str">
        <f>IFERROR(AVERAGE(Data!F1500), "  ")</f>
        <v xml:space="preserve">  </v>
      </c>
      <c r="G1498" s="42" t="str">
        <f>IFERROR(AVERAGE(Data!G1500), "  ")</f>
        <v xml:space="preserve">  </v>
      </c>
      <c r="H1498" s="44" t="str">
        <f>IFERROR(AVERAGE(Data!H1500), "  ")</f>
        <v xml:space="preserve">  </v>
      </c>
      <c r="I1498" s="44" t="str">
        <f>IFERROR(AVERAGE(Data!I1500), "  ")</f>
        <v xml:space="preserve">  </v>
      </c>
      <c r="J1498" s="42" t="str">
        <f>IFERROR(AVERAGE(Data!J1500), "  ")</f>
        <v xml:space="preserve">  </v>
      </c>
      <c r="K1498" s="44" t="str">
        <f>IFERROR(AVERAGE(Data!K1500), "  ")</f>
        <v xml:space="preserve">  </v>
      </c>
      <c r="L1498" s="45" t="str">
        <f>IFERROR(AVERAGE(Data!L1500), "  ")</f>
        <v xml:space="preserve">  </v>
      </c>
    </row>
    <row r="1499" spans="1:12" x14ac:dyDescent="0.2">
      <c r="A1499" s="43"/>
      <c r="B1499" s="42" t="str">
        <f>IFERROR(AVERAGE(Data!B1501), "  ")</f>
        <v xml:space="preserve">  </v>
      </c>
      <c r="C1499" s="42" t="str">
        <f>IFERROR(AVERAGE(Data!C1501), "  ")</f>
        <v xml:space="preserve">  </v>
      </c>
      <c r="D1499" s="42" t="str">
        <f>IFERROR(AVERAGE(Data!D1501), "  ")</f>
        <v xml:space="preserve">  </v>
      </c>
      <c r="E1499" s="42" t="str">
        <f>IFERROR(AVERAGE(Data!E1501), "  ")</f>
        <v xml:space="preserve">  </v>
      </c>
      <c r="F1499" s="42" t="str">
        <f>IFERROR(AVERAGE(Data!F1501), "  ")</f>
        <v xml:space="preserve">  </v>
      </c>
      <c r="G1499" s="42" t="str">
        <f>IFERROR(AVERAGE(Data!G1501), "  ")</f>
        <v xml:space="preserve">  </v>
      </c>
      <c r="H1499" s="44" t="str">
        <f>IFERROR(AVERAGE(Data!H1501), "  ")</f>
        <v xml:space="preserve">  </v>
      </c>
      <c r="I1499" s="44" t="str">
        <f>IFERROR(AVERAGE(Data!I1501), "  ")</f>
        <v xml:space="preserve">  </v>
      </c>
      <c r="J1499" s="42" t="str">
        <f>IFERROR(AVERAGE(Data!J1501), "  ")</f>
        <v xml:space="preserve">  </v>
      </c>
      <c r="K1499" s="44" t="str">
        <f>IFERROR(AVERAGE(Data!K1501), "  ")</f>
        <v xml:space="preserve">  </v>
      </c>
      <c r="L1499" s="45" t="str">
        <f>IFERROR(AVERAGE(Data!L1501), "  ")</f>
        <v xml:space="preserve">  </v>
      </c>
    </row>
    <row r="1500" spans="1:12" x14ac:dyDescent="0.2">
      <c r="A1500" s="43"/>
      <c r="B1500" s="42" t="str">
        <f>IFERROR(AVERAGE(Data!B1502), "  ")</f>
        <v xml:space="preserve">  </v>
      </c>
      <c r="C1500" s="42" t="str">
        <f>IFERROR(AVERAGE(Data!C1502), "  ")</f>
        <v xml:space="preserve">  </v>
      </c>
      <c r="D1500" s="42" t="str">
        <f>IFERROR(AVERAGE(Data!D1502), "  ")</f>
        <v xml:space="preserve">  </v>
      </c>
      <c r="E1500" s="42" t="str">
        <f>IFERROR(AVERAGE(Data!E1502), "  ")</f>
        <v xml:space="preserve">  </v>
      </c>
      <c r="F1500" s="42" t="str">
        <f>IFERROR(AVERAGE(Data!F1502), "  ")</f>
        <v xml:space="preserve">  </v>
      </c>
      <c r="G1500" s="42" t="str">
        <f>IFERROR(AVERAGE(Data!G1502), "  ")</f>
        <v xml:space="preserve">  </v>
      </c>
      <c r="H1500" s="44" t="str">
        <f>IFERROR(AVERAGE(Data!H1502), "  ")</f>
        <v xml:space="preserve">  </v>
      </c>
      <c r="I1500" s="44" t="str">
        <f>IFERROR(AVERAGE(Data!I1502), "  ")</f>
        <v xml:space="preserve">  </v>
      </c>
      <c r="J1500" s="42" t="str">
        <f>IFERROR(AVERAGE(Data!J1502), "  ")</f>
        <v xml:space="preserve">  </v>
      </c>
      <c r="K1500" s="44" t="str">
        <f>IFERROR(AVERAGE(Data!K1502), "  ")</f>
        <v xml:space="preserve">  </v>
      </c>
      <c r="L1500" s="45" t="str">
        <f>IFERROR(AVERAGE(Data!L1502), "  ")</f>
        <v xml:space="preserve">  </v>
      </c>
    </row>
    <row r="1501" spans="1:12" x14ac:dyDescent="0.2">
      <c r="A1501" s="43"/>
      <c r="B1501" s="42" t="str">
        <f>IFERROR(AVERAGE(Data!B1503), "  ")</f>
        <v xml:space="preserve">  </v>
      </c>
      <c r="C1501" s="42" t="str">
        <f>IFERROR(AVERAGE(Data!C1503), "  ")</f>
        <v xml:space="preserve">  </v>
      </c>
      <c r="D1501" s="42" t="str">
        <f>IFERROR(AVERAGE(Data!D1503), "  ")</f>
        <v xml:space="preserve">  </v>
      </c>
      <c r="E1501" s="42" t="str">
        <f>IFERROR(AVERAGE(Data!E1503), "  ")</f>
        <v xml:space="preserve">  </v>
      </c>
      <c r="F1501" s="42" t="str">
        <f>IFERROR(AVERAGE(Data!F1503), "  ")</f>
        <v xml:space="preserve">  </v>
      </c>
      <c r="G1501" s="42" t="str">
        <f>IFERROR(AVERAGE(Data!G1503), "  ")</f>
        <v xml:space="preserve">  </v>
      </c>
      <c r="H1501" s="44" t="str">
        <f>IFERROR(AVERAGE(Data!H1503), "  ")</f>
        <v xml:space="preserve">  </v>
      </c>
      <c r="I1501" s="44" t="str">
        <f>IFERROR(AVERAGE(Data!I1503), "  ")</f>
        <v xml:space="preserve">  </v>
      </c>
      <c r="J1501" s="42" t="str">
        <f>IFERROR(AVERAGE(Data!J1503), "  ")</f>
        <v xml:space="preserve">  </v>
      </c>
      <c r="K1501" s="44" t="str">
        <f>IFERROR(AVERAGE(Data!K1503), "  ")</f>
        <v xml:space="preserve">  </v>
      </c>
      <c r="L1501" s="45" t="str">
        <f>IFERROR(AVERAGE(Data!L1503), "  ")</f>
        <v xml:space="preserve">  </v>
      </c>
    </row>
    <row r="1502" spans="1:12" x14ac:dyDescent="0.2">
      <c r="A1502" s="43"/>
      <c r="B1502" s="42" t="str">
        <f>IFERROR(AVERAGE(Data!B1504), "  ")</f>
        <v xml:space="preserve">  </v>
      </c>
      <c r="C1502" s="42" t="str">
        <f>IFERROR(AVERAGE(Data!C1504), "  ")</f>
        <v xml:space="preserve">  </v>
      </c>
      <c r="D1502" s="42" t="str">
        <f>IFERROR(AVERAGE(Data!D1504), "  ")</f>
        <v xml:space="preserve">  </v>
      </c>
      <c r="E1502" s="42" t="str">
        <f>IFERROR(AVERAGE(Data!E1504), "  ")</f>
        <v xml:space="preserve">  </v>
      </c>
      <c r="F1502" s="42" t="str">
        <f>IFERROR(AVERAGE(Data!F1504), "  ")</f>
        <v xml:space="preserve">  </v>
      </c>
      <c r="G1502" s="42" t="str">
        <f>IFERROR(AVERAGE(Data!G1504), "  ")</f>
        <v xml:space="preserve">  </v>
      </c>
      <c r="H1502" s="44" t="str">
        <f>IFERROR(AVERAGE(Data!H1504), "  ")</f>
        <v xml:space="preserve">  </v>
      </c>
      <c r="I1502" s="44" t="str">
        <f>IFERROR(AVERAGE(Data!I1504), "  ")</f>
        <v xml:space="preserve">  </v>
      </c>
      <c r="J1502" s="42" t="str">
        <f>IFERROR(AVERAGE(Data!J1504), "  ")</f>
        <v xml:space="preserve">  </v>
      </c>
      <c r="K1502" s="44" t="str">
        <f>IFERROR(AVERAGE(Data!K1504), "  ")</f>
        <v xml:space="preserve">  </v>
      </c>
      <c r="L1502" s="45" t="str">
        <f>IFERROR(AVERAGE(Data!L1504), "  ")</f>
        <v xml:space="preserve">  </v>
      </c>
    </row>
    <row r="1503" spans="1:12" x14ac:dyDescent="0.2">
      <c r="A1503" s="43"/>
      <c r="B1503" s="42" t="str">
        <f>IFERROR(AVERAGE(Data!B1505), "  ")</f>
        <v xml:space="preserve">  </v>
      </c>
      <c r="C1503" s="42" t="str">
        <f>IFERROR(AVERAGE(Data!C1505), "  ")</f>
        <v xml:space="preserve">  </v>
      </c>
      <c r="D1503" s="42" t="str">
        <f>IFERROR(AVERAGE(Data!D1505), "  ")</f>
        <v xml:space="preserve">  </v>
      </c>
      <c r="E1503" s="42" t="str">
        <f>IFERROR(AVERAGE(Data!E1505), "  ")</f>
        <v xml:space="preserve">  </v>
      </c>
      <c r="F1503" s="42" t="str">
        <f>IFERROR(AVERAGE(Data!F1505), "  ")</f>
        <v xml:space="preserve">  </v>
      </c>
      <c r="G1503" s="42" t="str">
        <f>IFERROR(AVERAGE(Data!G1505), "  ")</f>
        <v xml:space="preserve">  </v>
      </c>
      <c r="H1503" s="44" t="str">
        <f>IFERROR(AVERAGE(Data!H1505), "  ")</f>
        <v xml:space="preserve">  </v>
      </c>
      <c r="I1503" s="44" t="str">
        <f>IFERROR(AVERAGE(Data!I1505), "  ")</f>
        <v xml:space="preserve">  </v>
      </c>
      <c r="J1503" s="42" t="str">
        <f>IFERROR(AVERAGE(Data!J1505), "  ")</f>
        <v xml:space="preserve">  </v>
      </c>
      <c r="K1503" s="44" t="str">
        <f>IFERROR(AVERAGE(Data!K1505), "  ")</f>
        <v xml:space="preserve">  </v>
      </c>
      <c r="L1503" s="45" t="str">
        <f>IFERROR(AVERAGE(Data!L1505), "  ")</f>
        <v xml:space="preserve">  </v>
      </c>
    </row>
    <row r="1504" spans="1:12" x14ac:dyDescent="0.2">
      <c r="A1504" s="43"/>
      <c r="B1504" s="42" t="str">
        <f>IFERROR(AVERAGE(Data!B1506), "  ")</f>
        <v xml:space="preserve">  </v>
      </c>
      <c r="C1504" s="42" t="str">
        <f>IFERROR(AVERAGE(Data!C1506), "  ")</f>
        <v xml:space="preserve">  </v>
      </c>
      <c r="D1504" s="42" t="str">
        <f>IFERROR(AVERAGE(Data!D1506), "  ")</f>
        <v xml:space="preserve">  </v>
      </c>
      <c r="E1504" s="42" t="str">
        <f>IFERROR(AVERAGE(Data!E1506), "  ")</f>
        <v xml:space="preserve">  </v>
      </c>
      <c r="F1504" s="42" t="str">
        <f>IFERROR(AVERAGE(Data!F1506), "  ")</f>
        <v xml:space="preserve">  </v>
      </c>
      <c r="G1504" s="42" t="str">
        <f>IFERROR(AVERAGE(Data!G1506), "  ")</f>
        <v xml:space="preserve">  </v>
      </c>
      <c r="H1504" s="44" t="str">
        <f>IFERROR(AVERAGE(Data!H1506), "  ")</f>
        <v xml:space="preserve">  </v>
      </c>
      <c r="I1504" s="44" t="str">
        <f>IFERROR(AVERAGE(Data!I1506), "  ")</f>
        <v xml:space="preserve">  </v>
      </c>
      <c r="J1504" s="42" t="str">
        <f>IFERROR(AVERAGE(Data!J1506), "  ")</f>
        <v xml:space="preserve">  </v>
      </c>
      <c r="K1504" s="44" t="str">
        <f>IFERROR(AVERAGE(Data!K1506), "  ")</f>
        <v xml:space="preserve">  </v>
      </c>
      <c r="L1504" s="45" t="str">
        <f>IFERROR(AVERAGE(Data!L1506), "  ")</f>
        <v xml:space="preserve">  </v>
      </c>
    </row>
    <row r="1505" spans="1:12" x14ac:dyDescent="0.2">
      <c r="A1505" s="43"/>
      <c r="B1505" s="42" t="str">
        <f>IFERROR(AVERAGE(Data!B1507), "  ")</f>
        <v xml:space="preserve">  </v>
      </c>
      <c r="C1505" s="42" t="str">
        <f>IFERROR(AVERAGE(Data!C1507), "  ")</f>
        <v xml:space="preserve">  </v>
      </c>
      <c r="D1505" s="42" t="str">
        <f>IFERROR(AVERAGE(Data!D1507), "  ")</f>
        <v xml:space="preserve">  </v>
      </c>
      <c r="E1505" s="42" t="str">
        <f>IFERROR(AVERAGE(Data!E1507), "  ")</f>
        <v xml:space="preserve">  </v>
      </c>
      <c r="F1505" s="42" t="str">
        <f>IFERROR(AVERAGE(Data!F1507), "  ")</f>
        <v xml:space="preserve">  </v>
      </c>
      <c r="G1505" s="42" t="str">
        <f>IFERROR(AVERAGE(Data!G1507), "  ")</f>
        <v xml:space="preserve">  </v>
      </c>
      <c r="H1505" s="44" t="str">
        <f>IFERROR(AVERAGE(Data!H1507), "  ")</f>
        <v xml:space="preserve">  </v>
      </c>
      <c r="I1505" s="44" t="str">
        <f>IFERROR(AVERAGE(Data!I1507), "  ")</f>
        <v xml:space="preserve">  </v>
      </c>
      <c r="J1505" s="42" t="str">
        <f>IFERROR(AVERAGE(Data!J1507), "  ")</f>
        <v xml:space="preserve">  </v>
      </c>
      <c r="K1505" s="44" t="str">
        <f>IFERROR(AVERAGE(Data!K1507), "  ")</f>
        <v xml:space="preserve">  </v>
      </c>
      <c r="L1505" s="45" t="str">
        <f>IFERROR(AVERAGE(Data!L1507), "  ")</f>
        <v xml:space="preserve">  </v>
      </c>
    </row>
    <row r="1506" spans="1:12" x14ac:dyDescent="0.2">
      <c r="A1506" s="43"/>
      <c r="B1506" s="42" t="str">
        <f>IFERROR(AVERAGE(Data!B1508), "  ")</f>
        <v xml:space="preserve">  </v>
      </c>
      <c r="C1506" s="42" t="str">
        <f>IFERROR(AVERAGE(Data!C1508), "  ")</f>
        <v xml:space="preserve">  </v>
      </c>
      <c r="D1506" s="42" t="str">
        <f>IFERROR(AVERAGE(Data!D1508), "  ")</f>
        <v xml:space="preserve">  </v>
      </c>
      <c r="E1506" s="42" t="str">
        <f>IFERROR(AVERAGE(Data!E1508), "  ")</f>
        <v xml:space="preserve">  </v>
      </c>
      <c r="F1506" s="42" t="str">
        <f>IFERROR(AVERAGE(Data!F1508), "  ")</f>
        <v xml:space="preserve">  </v>
      </c>
      <c r="G1506" s="42" t="str">
        <f>IFERROR(AVERAGE(Data!G1508), "  ")</f>
        <v xml:space="preserve">  </v>
      </c>
      <c r="H1506" s="44" t="str">
        <f>IFERROR(AVERAGE(Data!H1508), "  ")</f>
        <v xml:space="preserve">  </v>
      </c>
      <c r="I1506" s="44" t="str">
        <f>IFERROR(AVERAGE(Data!I1508), "  ")</f>
        <v xml:space="preserve">  </v>
      </c>
      <c r="J1506" s="42" t="str">
        <f>IFERROR(AVERAGE(Data!J1508), "  ")</f>
        <v xml:space="preserve">  </v>
      </c>
      <c r="K1506" s="44" t="str">
        <f>IFERROR(AVERAGE(Data!K1508), "  ")</f>
        <v xml:space="preserve">  </v>
      </c>
      <c r="L1506" s="45" t="str">
        <f>IFERROR(AVERAGE(Data!L1508), "  ")</f>
        <v xml:space="preserve">  </v>
      </c>
    </row>
    <row r="1507" spans="1:12" x14ac:dyDescent="0.2">
      <c r="A1507" s="43"/>
      <c r="B1507" s="42" t="str">
        <f>IFERROR(AVERAGE(Data!B1509), "  ")</f>
        <v xml:space="preserve">  </v>
      </c>
      <c r="C1507" s="42" t="str">
        <f>IFERROR(AVERAGE(Data!C1509), "  ")</f>
        <v xml:space="preserve">  </v>
      </c>
      <c r="D1507" s="42" t="str">
        <f>IFERROR(AVERAGE(Data!D1509), "  ")</f>
        <v xml:space="preserve">  </v>
      </c>
      <c r="E1507" s="42" t="str">
        <f>IFERROR(AVERAGE(Data!E1509), "  ")</f>
        <v xml:space="preserve">  </v>
      </c>
      <c r="F1507" s="42" t="str">
        <f>IFERROR(AVERAGE(Data!F1509), "  ")</f>
        <v xml:space="preserve">  </v>
      </c>
      <c r="G1507" s="42" t="str">
        <f>IFERROR(AVERAGE(Data!G1509), "  ")</f>
        <v xml:space="preserve">  </v>
      </c>
      <c r="H1507" s="44" t="str">
        <f>IFERROR(AVERAGE(Data!H1509), "  ")</f>
        <v xml:space="preserve">  </v>
      </c>
      <c r="I1507" s="44" t="str">
        <f>IFERROR(AVERAGE(Data!I1509), "  ")</f>
        <v xml:space="preserve">  </v>
      </c>
      <c r="J1507" s="42" t="str">
        <f>IFERROR(AVERAGE(Data!J1509), "  ")</f>
        <v xml:space="preserve">  </v>
      </c>
      <c r="K1507" s="44" t="str">
        <f>IFERROR(AVERAGE(Data!K1509), "  ")</f>
        <v xml:space="preserve">  </v>
      </c>
      <c r="L1507" s="45" t="str">
        <f>IFERROR(AVERAGE(Data!L1509), "  ")</f>
        <v xml:space="preserve">  </v>
      </c>
    </row>
    <row r="1508" spans="1:12" x14ac:dyDescent="0.2">
      <c r="A1508" s="43"/>
      <c r="B1508" s="42" t="str">
        <f>IFERROR(AVERAGE(Data!B1510), "  ")</f>
        <v xml:space="preserve">  </v>
      </c>
      <c r="C1508" s="42" t="str">
        <f>IFERROR(AVERAGE(Data!C1510), "  ")</f>
        <v xml:space="preserve">  </v>
      </c>
      <c r="D1508" s="42" t="str">
        <f>IFERROR(AVERAGE(Data!D1510), "  ")</f>
        <v xml:space="preserve">  </v>
      </c>
      <c r="E1508" s="42" t="str">
        <f>IFERROR(AVERAGE(Data!E1510), "  ")</f>
        <v xml:space="preserve">  </v>
      </c>
      <c r="F1508" s="42" t="str">
        <f>IFERROR(AVERAGE(Data!F1510), "  ")</f>
        <v xml:space="preserve">  </v>
      </c>
      <c r="G1508" s="42" t="str">
        <f>IFERROR(AVERAGE(Data!G1510), "  ")</f>
        <v xml:space="preserve">  </v>
      </c>
      <c r="H1508" s="44" t="str">
        <f>IFERROR(AVERAGE(Data!H1510), "  ")</f>
        <v xml:space="preserve">  </v>
      </c>
      <c r="I1508" s="44" t="str">
        <f>IFERROR(AVERAGE(Data!I1510), "  ")</f>
        <v xml:space="preserve">  </v>
      </c>
      <c r="J1508" s="42" t="str">
        <f>IFERROR(AVERAGE(Data!J1510), "  ")</f>
        <v xml:space="preserve">  </v>
      </c>
      <c r="K1508" s="44" t="str">
        <f>IFERROR(AVERAGE(Data!K1510), "  ")</f>
        <v xml:space="preserve">  </v>
      </c>
      <c r="L1508" s="45" t="str">
        <f>IFERROR(AVERAGE(Data!L1510), "  ")</f>
        <v xml:space="preserve">  </v>
      </c>
    </row>
    <row r="1509" spans="1:12" x14ac:dyDescent="0.2">
      <c r="A1509" s="43"/>
      <c r="B1509" s="42" t="str">
        <f>IFERROR(AVERAGE(Data!B1511), "  ")</f>
        <v xml:space="preserve">  </v>
      </c>
      <c r="C1509" s="42" t="str">
        <f>IFERROR(AVERAGE(Data!C1511), "  ")</f>
        <v xml:space="preserve">  </v>
      </c>
      <c r="D1509" s="42" t="str">
        <f>IFERROR(AVERAGE(Data!D1511), "  ")</f>
        <v xml:space="preserve">  </v>
      </c>
      <c r="E1509" s="42" t="str">
        <f>IFERROR(AVERAGE(Data!E1511), "  ")</f>
        <v xml:space="preserve">  </v>
      </c>
      <c r="F1509" s="42" t="str">
        <f>IFERROR(AVERAGE(Data!F1511), "  ")</f>
        <v xml:space="preserve">  </v>
      </c>
      <c r="G1509" s="42" t="str">
        <f>IFERROR(AVERAGE(Data!G1511), "  ")</f>
        <v xml:space="preserve">  </v>
      </c>
      <c r="H1509" s="44" t="str">
        <f>IFERROR(AVERAGE(Data!H1511), "  ")</f>
        <v xml:space="preserve">  </v>
      </c>
      <c r="I1509" s="44" t="str">
        <f>IFERROR(AVERAGE(Data!I1511), "  ")</f>
        <v xml:space="preserve">  </v>
      </c>
      <c r="J1509" s="42" t="str">
        <f>IFERROR(AVERAGE(Data!J1511), "  ")</f>
        <v xml:space="preserve">  </v>
      </c>
      <c r="K1509" s="44" t="str">
        <f>IFERROR(AVERAGE(Data!K1511), "  ")</f>
        <v xml:space="preserve">  </v>
      </c>
      <c r="L1509" s="45" t="str">
        <f>IFERROR(AVERAGE(Data!L1511), "  ")</f>
        <v xml:space="preserve">  </v>
      </c>
    </row>
    <row r="1510" spans="1:12" x14ac:dyDescent="0.2">
      <c r="A1510" s="43"/>
      <c r="B1510" s="42" t="str">
        <f>IFERROR(AVERAGE(Data!B1512), "  ")</f>
        <v xml:space="preserve">  </v>
      </c>
      <c r="C1510" s="42" t="str">
        <f>IFERROR(AVERAGE(Data!C1512), "  ")</f>
        <v xml:space="preserve">  </v>
      </c>
      <c r="D1510" s="42" t="str">
        <f>IFERROR(AVERAGE(Data!D1512), "  ")</f>
        <v xml:space="preserve">  </v>
      </c>
      <c r="E1510" s="42" t="str">
        <f>IFERROR(AVERAGE(Data!E1512), "  ")</f>
        <v xml:space="preserve">  </v>
      </c>
      <c r="F1510" s="42" t="str">
        <f>IFERROR(AVERAGE(Data!F1512), "  ")</f>
        <v xml:space="preserve">  </v>
      </c>
      <c r="G1510" s="42" t="str">
        <f>IFERROR(AVERAGE(Data!G1512), "  ")</f>
        <v xml:space="preserve">  </v>
      </c>
      <c r="H1510" s="44" t="str">
        <f>IFERROR(AVERAGE(Data!H1512), "  ")</f>
        <v xml:space="preserve">  </v>
      </c>
      <c r="I1510" s="44" t="str">
        <f>IFERROR(AVERAGE(Data!I1512), "  ")</f>
        <v xml:space="preserve">  </v>
      </c>
      <c r="J1510" s="42" t="str">
        <f>IFERROR(AVERAGE(Data!J1512), "  ")</f>
        <v xml:space="preserve">  </v>
      </c>
      <c r="K1510" s="44" t="str">
        <f>IFERROR(AVERAGE(Data!K1512), "  ")</f>
        <v xml:space="preserve">  </v>
      </c>
      <c r="L1510" s="45" t="str">
        <f>IFERROR(AVERAGE(Data!L1512), "  ")</f>
        <v xml:space="preserve">  </v>
      </c>
    </row>
    <row r="1511" spans="1:12" x14ac:dyDescent="0.2">
      <c r="A1511" s="43"/>
      <c r="B1511" s="42" t="str">
        <f>IFERROR(AVERAGE(Data!B1513), "  ")</f>
        <v xml:space="preserve">  </v>
      </c>
      <c r="C1511" s="42" t="str">
        <f>IFERROR(AVERAGE(Data!C1513), "  ")</f>
        <v xml:space="preserve">  </v>
      </c>
      <c r="D1511" s="42" t="str">
        <f>IFERROR(AVERAGE(Data!D1513), "  ")</f>
        <v xml:space="preserve">  </v>
      </c>
      <c r="E1511" s="42" t="str">
        <f>IFERROR(AVERAGE(Data!E1513), "  ")</f>
        <v xml:space="preserve">  </v>
      </c>
      <c r="F1511" s="42" t="str">
        <f>IFERROR(AVERAGE(Data!F1513), "  ")</f>
        <v xml:space="preserve">  </v>
      </c>
      <c r="G1511" s="42" t="str">
        <f>IFERROR(AVERAGE(Data!G1513), "  ")</f>
        <v xml:space="preserve">  </v>
      </c>
      <c r="H1511" s="44" t="str">
        <f>IFERROR(AVERAGE(Data!H1513), "  ")</f>
        <v xml:space="preserve">  </v>
      </c>
      <c r="I1511" s="44" t="str">
        <f>IFERROR(AVERAGE(Data!I1513), "  ")</f>
        <v xml:space="preserve">  </v>
      </c>
      <c r="J1511" s="42" t="str">
        <f>IFERROR(AVERAGE(Data!J1513), "  ")</f>
        <v xml:space="preserve">  </v>
      </c>
      <c r="K1511" s="44" t="str">
        <f>IFERROR(AVERAGE(Data!K1513), "  ")</f>
        <v xml:space="preserve">  </v>
      </c>
      <c r="L1511" s="45" t="str">
        <f>IFERROR(AVERAGE(Data!L1513), "  ")</f>
        <v xml:space="preserve">  </v>
      </c>
    </row>
    <row r="1512" spans="1:12" x14ac:dyDescent="0.2">
      <c r="A1512" s="43"/>
      <c r="B1512" s="42" t="str">
        <f>IFERROR(AVERAGE(Data!B1514), "  ")</f>
        <v xml:space="preserve">  </v>
      </c>
      <c r="C1512" s="42" t="str">
        <f>IFERROR(AVERAGE(Data!C1514), "  ")</f>
        <v xml:space="preserve">  </v>
      </c>
      <c r="D1512" s="42" t="str">
        <f>IFERROR(AVERAGE(Data!D1514), "  ")</f>
        <v xml:space="preserve">  </v>
      </c>
      <c r="E1512" s="42" t="str">
        <f>IFERROR(AVERAGE(Data!E1514), "  ")</f>
        <v xml:space="preserve">  </v>
      </c>
      <c r="F1512" s="42" t="str">
        <f>IFERROR(AVERAGE(Data!F1514), "  ")</f>
        <v xml:space="preserve">  </v>
      </c>
      <c r="G1512" s="42" t="str">
        <f>IFERROR(AVERAGE(Data!G1514), "  ")</f>
        <v xml:space="preserve">  </v>
      </c>
      <c r="H1512" s="44" t="str">
        <f>IFERROR(AVERAGE(Data!H1514), "  ")</f>
        <v xml:space="preserve">  </v>
      </c>
      <c r="I1512" s="44" t="str">
        <f>IFERROR(AVERAGE(Data!I1514), "  ")</f>
        <v xml:space="preserve">  </v>
      </c>
      <c r="J1512" s="42" t="str">
        <f>IFERROR(AVERAGE(Data!J1514), "  ")</f>
        <v xml:space="preserve">  </v>
      </c>
      <c r="K1512" s="44" t="str">
        <f>IFERROR(AVERAGE(Data!K1514), "  ")</f>
        <v xml:space="preserve">  </v>
      </c>
      <c r="L1512" s="45" t="str">
        <f>IFERROR(AVERAGE(Data!L1514), "  ")</f>
        <v xml:space="preserve">  </v>
      </c>
    </row>
    <row r="1513" spans="1:12" x14ac:dyDescent="0.2">
      <c r="A1513" s="43"/>
      <c r="B1513" s="42" t="str">
        <f>IFERROR(AVERAGE(Data!B1515), "  ")</f>
        <v xml:space="preserve">  </v>
      </c>
      <c r="C1513" s="42" t="str">
        <f>IFERROR(AVERAGE(Data!C1515), "  ")</f>
        <v xml:space="preserve">  </v>
      </c>
      <c r="D1513" s="42" t="str">
        <f>IFERROR(AVERAGE(Data!D1515), "  ")</f>
        <v xml:space="preserve">  </v>
      </c>
      <c r="E1513" s="42" t="str">
        <f>IFERROR(AVERAGE(Data!E1515), "  ")</f>
        <v xml:space="preserve">  </v>
      </c>
      <c r="F1513" s="42" t="str">
        <f>IFERROR(AVERAGE(Data!F1515), "  ")</f>
        <v xml:space="preserve">  </v>
      </c>
      <c r="G1513" s="42" t="str">
        <f>IFERROR(AVERAGE(Data!G1515), "  ")</f>
        <v xml:space="preserve">  </v>
      </c>
      <c r="H1513" s="44" t="str">
        <f>IFERROR(AVERAGE(Data!H1515), "  ")</f>
        <v xml:space="preserve">  </v>
      </c>
      <c r="I1513" s="44" t="str">
        <f>IFERROR(AVERAGE(Data!I1515), "  ")</f>
        <v xml:space="preserve">  </v>
      </c>
      <c r="J1513" s="42" t="str">
        <f>IFERROR(AVERAGE(Data!J1515), "  ")</f>
        <v xml:space="preserve">  </v>
      </c>
      <c r="K1513" s="44" t="str">
        <f>IFERROR(AVERAGE(Data!K1515), "  ")</f>
        <v xml:space="preserve">  </v>
      </c>
      <c r="L1513" s="45" t="str">
        <f>IFERROR(AVERAGE(Data!L1515), "  ")</f>
        <v xml:space="preserve">  </v>
      </c>
    </row>
    <row r="1514" spans="1:12" x14ac:dyDescent="0.2">
      <c r="A1514" s="43"/>
      <c r="B1514" s="42" t="str">
        <f>IFERROR(AVERAGE(Data!B1516), "  ")</f>
        <v xml:space="preserve">  </v>
      </c>
      <c r="C1514" s="42" t="str">
        <f>IFERROR(AVERAGE(Data!C1516), "  ")</f>
        <v xml:space="preserve">  </v>
      </c>
      <c r="D1514" s="42" t="str">
        <f>IFERROR(AVERAGE(Data!D1516), "  ")</f>
        <v xml:space="preserve">  </v>
      </c>
      <c r="E1514" s="42" t="str">
        <f>IFERROR(AVERAGE(Data!E1516), "  ")</f>
        <v xml:space="preserve">  </v>
      </c>
      <c r="F1514" s="42" t="str">
        <f>IFERROR(AVERAGE(Data!F1516), "  ")</f>
        <v xml:space="preserve">  </v>
      </c>
      <c r="G1514" s="42" t="str">
        <f>IFERROR(AVERAGE(Data!G1516), "  ")</f>
        <v xml:space="preserve">  </v>
      </c>
      <c r="H1514" s="44" t="str">
        <f>IFERROR(AVERAGE(Data!H1516), "  ")</f>
        <v xml:space="preserve">  </v>
      </c>
      <c r="I1514" s="44" t="str">
        <f>IFERROR(AVERAGE(Data!I1516), "  ")</f>
        <v xml:space="preserve">  </v>
      </c>
      <c r="J1514" s="42" t="str">
        <f>IFERROR(AVERAGE(Data!J1516), "  ")</f>
        <v xml:space="preserve">  </v>
      </c>
      <c r="K1514" s="44" t="str">
        <f>IFERROR(AVERAGE(Data!K1516), "  ")</f>
        <v xml:space="preserve">  </v>
      </c>
      <c r="L1514" s="45" t="str">
        <f>IFERROR(AVERAGE(Data!L1516), "  ")</f>
        <v xml:space="preserve">  </v>
      </c>
    </row>
    <row r="1515" spans="1:12" x14ac:dyDescent="0.2">
      <c r="A1515" s="43"/>
      <c r="B1515" s="42" t="str">
        <f>IFERROR(AVERAGE(Data!B1517), "  ")</f>
        <v xml:space="preserve">  </v>
      </c>
      <c r="C1515" s="42" t="str">
        <f>IFERROR(AVERAGE(Data!C1517), "  ")</f>
        <v xml:space="preserve">  </v>
      </c>
      <c r="D1515" s="42" t="str">
        <f>IFERROR(AVERAGE(Data!D1517), "  ")</f>
        <v xml:space="preserve">  </v>
      </c>
      <c r="E1515" s="42" t="str">
        <f>IFERROR(AVERAGE(Data!E1517), "  ")</f>
        <v xml:space="preserve">  </v>
      </c>
      <c r="F1515" s="42" t="str">
        <f>IFERROR(AVERAGE(Data!F1517), "  ")</f>
        <v xml:space="preserve">  </v>
      </c>
      <c r="G1515" s="42" t="str">
        <f>IFERROR(AVERAGE(Data!G1517), "  ")</f>
        <v xml:space="preserve">  </v>
      </c>
      <c r="H1515" s="44" t="str">
        <f>IFERROR(AVERAGE(Data!H1517), "  ")</f>
        <v xml:space="preserve">  </v>
      </c>
      <c r="I1515" s="44" t="str">
        <f>IFERROR(AVERAGE(Data!I1517), "  ")</f>
        <v xml:space="preserve">  </v>
      </c>
      <c r="J1515" s="42" t="str">
        <f>IFERROR(AVERAGE(Data!J1517), "  ")</f>
        <v xml:space="preserve">  </v>
      </c>
      <c r="K1515" s="44" t="str">
        <f>IFERROR(AVERAGE(Data!K1517), "  ")</f>
        <v xml:space="preserve">  </v>
      </c>
      <c r="L1515" s="45" t="str">
        <f>IFERROR(AVERAGE(Data!L1517), "  ")</f>
        <v xml:space="preserve">  </v>
      </c>
    </row>
    <row r="1516" spans="1:12" x14ac:dyDescent="0.2">
      <c r="A1516" s="43"/>
      <c r="B1516" s="42" t="str">
        <f>IFERROR(AVERAGE(Data!B1518), "  ")</f>
        <v xml:space="preserve">  </v>
      </c>
      <c r="C1516" s="42" t="str">
        <f>IFERROR(AVERAGE(Data!C1518), "  ")</f>
        <v xml:space="preserve">  </v>
      </c>
      <c r="D1516" s="42" t="str">
        <f>IFERROR(AVERAGE(Data!D1518), "  ")</f>
        <v xml:space="preserve">  </v>
      </c>
      <c r="E1516" s="42" t="str">
        <f>IFERROR(AVERAGE(Data!E1518), "  ")</f>
        <v xml:space="preserve">  </v>
      </c>
      <c r="F1516" s="42" t="str">
        <f>IFERROR(AVERAGE(Data!F1518), "  ")</f>
        <v xml:space="preserve">  </v>
      </c>
      <c r="G1516" s="42" t="str">
        <f>IFERROR(AVERAGE(Data!G1518), "  ")</f>
        <v xml:space="preserve">  </v>
      </c>
      <c r="H1516" s="44" t="str">
        <f>IFERROR(AVERAGE(Data!H1518), "  ")</f>
        <v xml:space="preserve">  </v>
      </c>
      <c r="I1516" s="44" t="str">
        <f>IFERROR(AVERAGE(Data!I1518), "  ")</f>
        <v xml:space="preserve">  </v>
      </c>
      <c r="J1516" s="42" t="str">
        <f>IFERROR(AVERAGE(Data!J1518), "  ")</f>
        <v xml:space="preserve">  </v>
      </c>
      <c r="K1516" s="44" t="str">
        <f>IFERROR(AVERAGE(Data!K1518), "  ")</f>
        <v xml:space="preserve">  </v>
      </c>
      <c r="L1516" s="45" t="str">
        <f>IFERROR(AVERAGE(Data!L1518), "  ")</f>
        <v xml:space="preserve">  </v>
      </c>
    </row>
    <row r="1517" spans="1:12" x14ac:dyDescent="0.2">
      <c r="A1517" s="43"/>
      <c r="B1517" s="42" t="str">
        <f>IFERROR(AVERAGE(Data!B1519), "  ")</f>
        <v xml:space="preserve">  </v>
      </c>
      <c r="C1517" s="42" t="str">
        <f>IFERROR(AVERAGE(Data!C1519), "  ")</f>
        <v xml:space="preserve">  </v>
      </c>
      <c r="D1517" s="42" t="str">
        <f>IFERROR(AVERAGE(Data!D1519), "  ")</f>
        <v xml:space="preserve">  </v>
      </c>
      <c r="E1517" s="42" t="str">
        <f>IFERROR(AVERAGE(Data!E1519), "  ")</f>
        <v xml:space="preserve">  </v>
      </c>
      <c r="F1517" s="42" t="str">
        <f>IFERROR(AVERAGE(Data!F1519), "  ")</f>
        <v xml:space="preserve">  </v>
      </c>
      <c r="G1517" s="42" t="str">
        <f>IFERROR(AVERAGE(Data!G1519), "  ")</f>
        <v xml:space="preserve">  </v>
      </c>
      <c r="H1517" s="44" t="str">
        <f>IFERROR(AVERAGE(Data!H1519), "  ")</f>
        <v xml:space="preserve">  </v>
      </c>
      <c r="I1517" s="44" t="str">
        <f>IFERROR(AVERAGE(Data!I1519), "  ")</f>
        <v xml:space="preserve">  </v>
      </c>
      <c r="J1517" s="42" t="str">
        <f>IFERROR(AVERAGE(Data!J1519), "  ")</f>
        <v xml:space="preserve">  </v>
      </c>
      <c r="K1517" s="44" t="str">
        <f>IFERROR(AVERAGE(Data!K1519), "  ")</f>
        <v xml:space="preserve">  </v>
      </c>
      <c r="L1517" s="45" t="str">
        <f>IFERROR(AVERAGE(Data!L1519), "  ")</f>
        <v xml:space="preserve">  </v>
      </c>
    </row>
    <row r="1518" spans="1:12" x14ac:dyDescent="0.2">
      <c r="A1518" s="43"/>
      <c r="B1518" s="42" t="str">
        <f>IFERROR(AVERAGE(Data!B1520), "  ")</f>
        <v xml:space="preserve">  </v>
      </c>
      <c r="C1518" s="42" t="str">
        <f>IFERROR(AVERAGE(Data!C1520), "  ")</f>
        <v xml:space="preserve">  </v>
      </c>
      <c r="D1518" s="42" t="str">
        <f>IFERROR(AVERAGE(Data!D1520), "  ")</f>
        <v xml:space="preserve">  </v>
      </c>
      <c r="E1518" s="42" t="str">
        <f>IFERROR(AVERAGE(Data!E1520), "  ")</f>
        <v xml:space="preserve">  </v>
      </c>
      <c r="F1518" s="42" t="str">
        <f>IFERROR(AVERAGE(Data!F1520), "  ")</f>
        <v xml:space="preserve">  </v>
      </c>
      <c r="G1518" s="42" t="str">
        <f>IFERROR(AVERAGE(Data!G1520), "  ")</f>
        <v xml:space="preserve">  </v>
      </c>
      <c r="H1518" s="44" t="str">
        <f>IFERROR(AVERAGE(Data!H1520), "  ")</f>
        <v xml:space="preserve">  </v>
      </c>
      <c r="I1518" s="44" t="str">
        <f>IFERROR(AVERAGE(Data!I1520), "  ")</f>
        <v xml:space="preserve">  </v>
      </c>
      <c r="J1518" s="42" t="str">
        <f>IFERROR(AVERAGE(Data!J1520), "  ")</f>
        <v xml:space="preserve">  </v>
      </c>
      <c r="K1518" s="44" t="str">
        <f>IFERROR(AVERAGE(Data!K1520), "  ")</f>
        <v xml:space="preserve">  </v>
      </c>
      <c r="L1518" s="45" t="str">
        <f>IFERROR(AVERAGE(Data!L1520), "  ")</f>
        <v xml:space="preserve">  </v>
      </c>
    </row>
    <row r="1519" spans="1:12" x14ac:dyDescent="0.2">
      <c r="A1519" s="43"/>
      <c r="B1519" s="42" t="str">
        <f>IFERROR(AVERAGE(Data!B1521), "  ")</f>
        <v xml:space="preserve">  </v>
      </c>
      <c r="C1519" s="42" t="str">
        <f>IFERROR(AVERAGE(Data!C1521), "  ")</f>
        <v xml:space="preserve">  </v>
      </c>
      <c r="D1519" s="42" t="str">
        <f>IFERROR(AVERAGE(Data!D1521), "  ")</f>
        <v xml:space="preserve">  </v>
      </c>
      <c r="E1519" s="42" t="str">
        <f>IFERROR(AVERAGE(Data!E1521), "  ")</f>
        <v xml:space="preserve">  </v>
      </c>
      <c r="F1519" s="42" t="str">
        <f>IFERROR(AVERAGE(Data!F1521), "  ")</f>
        <v xml:space="preserve">  </v>
      </c>
      <c r="G1519" s="42" t="str">
        <f>IFERROR(AVERAGE(Data!G1521), "  ")</f>
        <v xml:space="preserve">  </v>
      </c>
      <c r="H1519" s="44" t="str">
        <f>IFERROR(AVERAGE(Data!H1521), "  ")</f>
        <v xml:space="preserve">  </v>
      </c>
      <c r="I1519" s="44" t="str">
        <f>IFERROR(AVERAGE(Data!I1521), "  ")</f>
        <v xml:space="preserve">  </v>
      </c>
      <c r="J1519" s="42" t="str">
        <f>IFERROR(AVERAGE(Data!J1521), "  ")</f>
        <v xml:space="preserve">  </v>
      </c>
      <c r="K1519" s="44" t="str">
        <f>IFERROR(AVERAGE(Data!K1521), "  ")</f>
        <v xml:space="preserve">  </v>
      </c>
      <c r="L1519" s="45" t="str">
        <f>IFERROR(AVERAGE(Data!L1521), "  ")</f>
        <v xml:space="preserve">  </v>
      </c>
    </row>
    <row r="1520" spans="1:12" x14ac:dyDescent="0.2">
      <c r="A1520" s="43"/>
      <c r="B1520" s="42" t="str">
        <f>IFERROR(AVERAGE(Data!B1522), "  ")</f>
        <v xml:space="preserve">  </v>
      </c>
      <c r="C1520" s="42" t="str">
        <f>IFERROR(AVERAGE(Data!C1522), "  ")</f>
        <v xml:space="preserve">  </v>
      </c>
      <c r="D1520" s="42" t="str">
        <f>IFERROR(AVERAGE(Data!D1522), "  ")</f>
        <v xml:space="preserve">  </v>
      </c>
      <c r="E1520" s="42" t="str">
        <f>IFERROR(AVERAGE(Data!E1522), "  ")</f>
        <v xml:space="preserve">  </v>
      </c>
      <c r="F1520" s="42" t="str">
        <f>IFERROR(AVERAGE(Data!F1522), "  ")</f>
        <v xml:space="preserve">  </v>
      </c>
      <c r="G1520" s="42" t="str">
        <f>IFERROR(AVERAGE(Data!G1522), "  ")</f>
        <v xml:space="preserve">  </v>
      </c>
      <c r="H1520" s="44" t="str">
        <f>IFERROR(AVERAGE(Data!H1522), "  ")</f>
        <v xml:space="preserve">  </v>
      </c>
      <c r="I1520" s="44" t="str">
        <f>IFERROR(AVERAGE(Data!I1522), "  ")</f>
        <v xml:space="preserve">  </v>
      </c>
      <c r="J1520" s="42" t="str">
        <f>IFERROR(AVERAGE(Data!J1522), "  ")</f>
        <v xml:space="preserve">  </v>
      </c>
      <c r="K1520" s="44" t="str">
        <f>IFERROR(AVERAGE(Data!K1522), "  ")</f>
        <v xml:space="preserve">  </v>
      </c>
      <c r="L1520" s="45" t="str">
        <f>IFERROR(AVERAGE(Data!L1522), "  ")</f>
        <v xml:space="preserve">  </v>
      </c>
    </row>
    <row r="1521" spans="1:12" x14ac:dyDescent="0.2">
      <c r="A1521" s="43"/>
      <c r="B1521" s="42" t="str">
        <f>IFERROR(AVERAGE(Data!B1523), "  ")</f>
        <v xml:space="preserve">  </v>
      </c>
      <c r="C1521" s="42" t="str">
        <f>IFERROR(AVERAGE(Data!C1523), "  ")</f>
        <v xml:space="preserve">  </v>
      </c>
      <c r="D1521" s="42" t="str">
        <f>IFERROR(AVERAGE(Data!D1523), "  ")</f>
        <v xml:space="preserve">  </v>
      </c>
      <c r="E1521" s="42" t="str">
        <f>IFERROR(AVERAGE(Data!E1523), "  ")</f>
        <v xml:space="preserve">  </v>
      </c>
      <c r="F1521" s="42" t="str">
        <f>IFERROR(AVERAGE(Data!F1523), "  ")</f>
        <v xml:space="preserve">  </v>
      </c>
      <c r="G1521" s="42" t="str">
        <f>IFERROR(AVERAGE(Data!G1523), "  ")</f>
        <v xml:space="preserve">  </v>
      </c>
      <c r="H1521" s="44" t="str">
        <f>IFERROR(AVERAGE(Data!H1523), "  ")</f>
        <v xml:space="preserve">  </v>
      </c>
      <c r="I1521" s="44" t="str">
        <f>IFERROR(AVERAGE(Data!I1523), "  ")</f>
        <v xml:space="preserve">  </v>
      </c>
      <c r="J1521" s="42" t="str">
        <f>IFERROR(AVERAGE(Data!J1523), "  ")</f>
        <v xml:space="preserve">  </v>
      </c>
      <c r="K1521" s="44" t="str">
        <f>IFERROR(AVERAGE(Data!K1523), "  ")</f>
        <v xml:space="preserve">  </v>
      </c>
      <c r="L1521" s="45" t="str">
        <f>IFERROR(AVERAGE(Data!L1523), "  ")</f>
        <v xml:space="preserve">  </v>
      </c>
    </row>
    <row r="1522" spans="1:12" x14ac:dyDescent="0.2">
      <c r="A1522" s="43"/>
      <c r="B1522" s="42" t="str">
        <f>IFERROR(AVERAGE(Data!B1524), "  ")</f>
        <v xml:space="preserve">  </v>
      </c>
      <c r="C1522" s="42" t="str">
        <f>IFERROR(AVERAGE(Data!C1524), "  ")</f>
        <v xml:space="preserve">  </v>
      </c>
      <c r="D1522" s="42" t="str">
        <f>IFERROR(AVERAGE(Data!D1524), "  ")</f>
        <v xml:space="preserve">  </v>
      </c>
      <c r="E1522" s="42" t="str">
        <f>IFERROR(AVERAGE(Data!E1524), "  ")</f>
        <v xml:space="preserve">  </v>
      </c>
      <c r="F1522" s="42" t="str">
        <f>IFERROR(AVERAGE(Data!F1524), "  ")</f>
        <v xml:space="preserve">  </v>
      </c>
      <c r="G1522" s="42" t="str">
        <f>IFERROR(AVERAGE(Data!G1524), "  ")</f>
        <v xml:space="preserve">  </v>
      </c>
      <c r="H1522" s="44" t="str">
        <f>IFERROR(AVERAGE(Data!H1524), "  ")</f>
        <v xml:space="preserve">  </v>
      </c>
      <c r="I1522" s="44" t="str">
        <f>IFERROR(AVERAGE(Data!I1524), "  ")</f>
        <v xml:space="preserve">  </v>
      </c>
      <c r="J1522" s="42" t="str">
        <f>IFERROR(AVERAGE(Data!J1524), "  ")</f>
        <v xml:space="preserve">  </v>
      </c>
      <c r="K1522" s="44" t="str">
        <f>IFERROR(AVERAGE(Data!K1524), "  ")</f>
        <v xml:space="preserve">  </v>
      </c>
      <c r="L1522" s="45" t="str">
        <f>IFERROR(AVERAGE(Data!L1524), "  ")</f>
        <v xml:space="preserve">  </v>
      </c>
    </row>
    <row r="1523" spans="1:12" x14ac:dyDescent="0.2">
      <c r="A1523" s="43"/>
      <c r="B1523" s="42" t="str">
        <f>IFERROR(AVERAGE(Data!B1525), "  ")</f>
        <v xml:space="preserve">  </v>
      </c>
      <c r="C1523" s="42" t="str">
        <f>IFERROR(AVERAGE(Data!C1525), "  ")</f>
        <v xml:space="preserve">  </v>
      </c>
      <c r="D1523" s="42" t="str">
        <f>IFERROR(AVERAGE(Data!D1525), "  ")</f>
        <v xml:space="preserve">  </v>
      </c>
      <c r="E1523" s="42" t="str">
        <f>IFERROR(AVERAGE(Data!E1525), "  ")</f>
        <v xml:space="preserve">  </v>
      </c>
      <c r="F1523" s="42" t="str">
        <f>IFERROR(AVERAGE(Data!F1525), "  ")</f>
        <v xml:space="preserve">  </v>
      </c>
      <c r="G1523" s="42" t="str">
        <f>IFERROR(AVERAGE(Data!G1525), "  ")</f>
        <v xml:space="preserve">  </v>
      </c>
      <c r="H1523" s="44" t="str">
        <f>IFERROR(AVERAGE(Data!H1525), "  ")</f>
        <v xml:space="preserve">  </v>
      </c>
      <c r="I1523" s="44" t="str">
        <f>IFERROR(AVERAGE(Data!I1525), "  ")</f>
        <v xml:space="preserve">  </v>
      </c>
      <c r="J1523" s="42" t="str">
        <f>IFERROR(AVERAGE(Data!J1525), "  ")</f>
        <v xml:space="preserve">  </v>
      </c>
      <c r="K1523" s="44" t="str">
        <f>IFERROR(AVERAGE(Data!K1525), "  ")</f>
        <v xml:space="preserve">  </v>
      </c>
      <c r="L1523" s="45" t="str">
        <f>IFERROR(AVERAGE(Data!L1525), "  ")</f>
        <v xml:space="preserve">  </v>
      </c>
    </row>
    <row r="1524" spans="1:12" x14ac:dyDescent="0.2">
      <c r="A1524" s="43"/>
      <c r="B1524" s="42" t="str">
        <f>IFERROR(AVERAGE(Data!B1526), "  ")</f>
        <v xml:space="preserve">  </v>
      </c>
      <c r="C1524" s="42" t="str">
        <f>IFERROR(AVERAGE(Data!C1526), "  ")</f>
        <v xml:space="preserve">  </v>
      </c>
      <c r="D1524" s="42" t="str">
        <f>IFERROR(AVERAGE(Data!D1526), "  ")</f>
        <v xml:space="preserve">  </v>
      </c>
      <c r="E1524" s="42" t="str">
        <f>IFERROR(AVERAGE(Data!E1526), "  ")</f>
        <v xml:space="preserve">  </v>
      </c>
      <c r="F1524" s="42" t="str">
        <f>IFERROR(AVERAGE(Data!F1526), "  ")</f>
        <v xml:space="preserve">  </v>
      </c>
      <c r="G1524" s="42" t="str">
        <f>IFERROR(AVERAGE(Data!G1526), "  ")</f>
        <v xml:space="preserve">  </v>
      </c>
      <c r="H1524" s="44" t="str">
        <f>IFERROR(AVERAGE(Data!H1526), "  ")</f>
        <v xml:space="preserve">  </v>
      </c>
      <c r="I1524" s="44" t="str">
        <f>IFERROR(AVERAGE(Data!I1526), "  ")</f>
        <v xml:space="preserve">  </v>
      </c>
      <c r="J1524" s="42" t="str">
        <f>IFERROR(AVERAGE(Data!J1526), "  ")</f>
        <v xml:space="preserve">  </v>
      </c>
      <c r="K1524" s="44" t="str">
        <f>IFERROR(AVERAGE(Data!K1526), "  ")</f>
        <v xml:space="preserve">  </v>
      </c>
      <c r="L1524" s="45" t="str">
        <f>IFERROR(AVERAGE(Data!L1526), "  ")</f>
        <v xml:space="preserve">  </v>
      </c>
    </row>
    <row r="1525" spans="1:12" x14ac:dyDescent="0.2">
      <c r="A1525" s="43"/>
      <c r="B1525" s="42" t="str">
        <f>IFERROR(AVERAGE(Data!B1527), "  ")</f>
        <v xml:space="preserve">  </v>
      </c>
      <c r="C1525" s="42" t="str">
        <f>IFERROR(AVERAGE(Data!C1527), "  ")</f>
        <v xml:space="preserve">  </v>
      </c>
      <c r="D1525" s="42" t="str">
        <f>IFERROR(AVERAGE(Data!D1527), "  ")</f>
        <v xml:space="preserve">  </v>
      </c>
      <c r="E1525" s="42" t="str">
        <f>IFERROR(AVERAGE(Data!E1527), "  ")</f>
        <v xml:space="preserve">  </v>
      </c>
      <c r="F1525" s="42" t="str">
        <f>IFERROR(AVERAGE(Data!F1527), "  ")</f>
        <v xml:space="preserve">  </v>
      </c>
      <c r="G1525" s="42" t="str">
        <f>IFERROR(AVERAGE(Data!G1527), "  ")</f>
        <v xml:space="preserve">  </v>
      </c>
      <c r="H1525" s="44" t="str">
        <f>IFERROR(AVERAGE(Data!H1527), "  ")</f>
        <v xml:space="preserve">  </v>
      </c>
      <c r="I1525" s="44" t="str">
        <f>IFERROR(AVERAGE(Data!I1527), "  ")</f>
        <v xml:space="preserve">  </v>
      </c>
      <c r="J1525" s="42" t="str">
        <f>IFERROR(AVERAGE(Data!J1527), "  ")</f>
        <v xml:space="preserve">  </v>
      </c>
      <c r="K1525" s="44" t="str">
        <f>IFERROR(AVERAGE(Data!K1527), "  ")</f>
        <v xml:space="preserve">  </v>
      </c>
      <c r="L1525" s="45" t="str">
        <f>IFERROR(AVERAGE(Data!L1527), "  ")</f>
        <v xml:space="preserve">  </v>
      </c>
    </row>
    <row r="1526" spans="1:12" x14ac:dyDescent="0.2">
      <c r="A1526" s="43"/>
      <c r="B1526" s="42" t="str">
        <f>IFERROR(AVERAGE(Data!B1528), "  ")</f>
        <v xml:space="preserve">  </v>
      </c>
      <c r="C1526" s="42" t="str">
        <f>IFERROR(AVERAGE(Data!C1528), "  ")</f>
        <v xml:space="preserve">  </v>
      </c>
      <c r="D1526" s="42" t="str">
        <f>IFERROR(AVERAGE(Data!D1528), "  ")</f>
        <v xml:space="preserve">  </v>
      </c>
      <c r="E1526" s="42" t="str">
        <f>IFERROR(AVERAGE(Data!E1528), "  ")</f>
        <v xml:space="preserve">  </v>
      </c>
      <c r="F1526" s="42" t="str">
        <f>IFERROR(AVERAGE(Data!F1528), "  ")</f>
        <v xml:space="preserve">  </v>
      </c>
      <c r="G1526" s="42" t="str">
        <f>IFERROR(AVERAGE(Data!G1528), "  ")</f>
        <v xml:space="preserve">  </v>
      </c>
      <c r="H1526" s="44" t="str">
        <f>IFERROR(AVERAGE(Data!H1528), "  ")</f>
        <v xml:space="preserve">  </v>
      </c>
      <c r="I1526" s="44" t="str">
        <f>IFERROR(AVERAGE(Data!I1528), "  ")</f>
        <v xml:space="preserve">  </v>
      </c>
      <c r="J1526" s="42" t="str">
        <f>IFERROR(AVERAGE(Data!J1528), "  ")</f>
        <v xml:space="preserve">  </v>
      </c>
      <c r="K1526" s="44" t="str">
        <f>IFERROR(AVERAGE(Data!K1528), "  ")</f>
        <v xml:space="preserve">  </v>
      </c>
      <c r="L1526" s="45" t="str">
        <f>IFERROR(AVERAGE(Data!L1528), "  ")</f>
        <v xml:space="preserve">  </v>
      </c>
    </row>
    <row r="1527" spans="1:12" x14ac:dyDescent="0.2">
      <c r="A1527" s="43"/>
      <c r="B1527" s="42" t="str">
        <f>IFERROR(AVERAGE(Data!B1529), "  ")</f>
        <v xml:space="preserve">  </v>
      </c>
      <c r="C1527" s="42" t="str">
        <f>IFERROR(AVERAGE(Data!C1529), "  ")</f>
        <v xml:space="preserve">  </v>
      </c>
      <c r="D1527" s="42" t="str">
        <f>IFERROR(AVERAGE(Data!D1529), "  ")</f>
        <v xml:space="preserve">  </v>
      </c>
      <c r="E1527" s="42" t="str">
        <f>IFERROR(AVERAGE(Data!E1529), "  ")</f>
        <v xml:space="preserve">  </v>
      </c>
      <c r="F1527" s="42" t="str">
        <f>IFERROR(AVERAGE(Data!F1529), "  ")</f>
        <v xml:space="preserve">  </v>
      </c>
      <c r="G1527" s="42" t="str">
        <f>IFERROR(AVERAGE(Data!G1529), "  ")</f>
        <v xml:space="preserve">  </v>
      </c>
      <c r="H1527" s="44" t="str">
        <f>IFERROR(AVERAGE(Data!H1529), "  ")</f>
        <v xml:space="preserve">  </v>
      </c>
      <c r="I1527" s="44" t="str">
        <f>IFERROR(AVERAGE(Data!I1529), "  ")</f>
        <v xml:space="preserve">  </v>
      </c>
      <c r="J1527" s="42" t="str">
        <f>IFERROR(AVERAGE(Data!J1529), "  ")</f>
        <v xml:space="preserve">  </v>
      </c>
      <c r="K1527" s="44" t="str">
        <f>IFERROR(AVERAGE(Data!K1529), "  ")</f>
        <v xml:space="preserve">  </v>
      </c>
      <c r="L1527" s="45" t="str">
        <f>IFERROR(AVERAGE(Data!L1529), "  ")</f>
        <v xml:space="preserve">  </v>
      </c>
    </row>
    <row r="1528" spans="1:12" x14ac:dyDescent="0.2">
      <c r="A1528" s="43"/>
      <c r="B1528" s="42" t="str">
        <f>IFERROR(AVERAGE(Data!B1530), "  ")</f>
        <v xml:space="preserve">  </v>
      </c>
      <c r="C1528" s="42" t="str">
        <f>IFERROR(AVERAGE(Data!C1530), "  ")</f>
        <v xml:space="preserve">  </v>
      </c>
      <c r="D1528" s="42" t="str">
        <f>IFERROR(AVERAGE(Data!D1530), "  ")</f>
        <v xml:space="preserve">  </v>
      </c>
      <c r="E1528" s="42" t="str">
        <f>IFERROR(AVERAGE(Data!E1530), "  ")</f>
        <v xml:space="preserve">  </v>
      </c>
      <c r="F1528" s="42" t="str">
        <f>IFERROR(AVERAGE(Data!F1530), "  ")</f>
        <v xml:space="preserve">  </v>
      </c>
      <c r="G1528" s="42" t="str">
        <f>IFERROR(AVERAGE(Data!G1530), "  ")</f>
        <v xml:space="preserve">  </v>
      </c>
      <c r="H1528" s="44" t="str">
        <f>IFERROR(AVERAGE(Data!H1530), "  ")</f>
        <v xml:space="preserve">  </v>
      </c>
      <c r="I1528" s="44" t="str">
        <f>IFERROR(AVERAGE(Data!I1530), "  ")</f>
        <v xml:space="preserve">  </v>
      </c>
      <c r="J1528" s="42" t="str">
        <f>IFERROR(AVERAGE(Data!J1530), "  ")</f>
        <v xml:space="preserve">  </v>
      </c>
      <c r="K1528" s="44" t="str">
        <f>IFERROR(AVERAGE(Data!K1530), "  ")</f>
        <v xml:space="preserve">  </v>
      </c>
      <c r="L1528" s="45" t="str">
        <f>IFERROR(AVERAGE(Data!L1530), "  ")</f>
        <v xml:space="preserve">  </v>
      </c>
    </row>
    <row r="1529" spans="1:12" x14ac:dyDescent="0.2">
      <c r="A1529" s="43"/>
      <c r="B1529" s="42" t="str">
        <f>IFERROR(AVERAGE(Data!B1531), "  ")</f>
        <v xml:space="preserve">  </v>
      </c>
      <c r="C1529" s="42" t="str">
        <f>IFERROR(AVERAGE(Data!C1531), "  ")</f>
        <v xml:space="preserve">  </v>
      </c>
      <c r="D1529" s="42" t="str">
        <f>IFERROR(AVERAGE(Data!D1531), "  ")</f>
        <v xml:space="preserve">  </v>
      </c>
      <c r="E1529" s="42" t="str">
        <f>IFERROR(AVERAGE(Data!E1531), "  ")</f>
        <v xml:space="preserve">  </v>
      </c>
      <c r="F1529" s="42" t="str">
        <f>IFERROR(AVERAGE(Data!F1531), "  ")</f>
        <v xml:space="preserve">  </v>
      </c>
      <c r="G1529" s="42" t="str">
        <f>IFERROR(AVERAGE(Data!G1531), "  ")</f>
        <v xml:space="preserve">  </v>
      </c>
      <c r="H1529" s="44" t="str">
        <f>IFERROR(AVERAGE(Data!H1531), "  ")</f>
        <v xml:space="preserve">  </v>
      </c>
      <c r="I1529" s="44" t="str">
        <f>IFERROR(AVERAGE(Data!I1531), "  ")</f>
        <v xml:space="preserve">  </v>
      </c>
      <c r="J1529" s="42" t="str">
        <f>IFERROR(AVERAGE(Data!J1531), "  ")</f>
        <v xml:space="preserve">  </v>
      </c>
      <c r="K1529" s="44" t="str">
        <f>IFERROR(AVERAGE(Data!K1531), "  ")</f>
        <v xml:space="preserve">  </v>
      </c>
      <c r="L1529" s="45" t="str">
        <f>IFERROR(AVERAGE(Data!L1531), "  ")</f>
        <v xml:space="preserve">  </v>
      </c>
    </row>
    <row r="1530" spans="1:12" x14ac:dyDescent="0.2">
      <c r="A1530" s="43"/>
      <c r="B1530" s="42" t="str">
        <f>IFERROR(AVERAGE(Data!B1532), "  ")</f>
        <v xml:space="preserve">  </v>
      </c>
      <c r="C1530" s="42" t="str">
        <f>IFERROR(AVERAGE(Data!C1532), "  ")</f>
        <v xml:space="preserve">  </v>
      </c>
      <c r="D1530" s="42" t="str">
        <f>IFERROR(AVERAGE(Data!D1532), "  ")</f>
        <v xml:space="preserve">  </v>
      </c>
      <c r="E1530" s="42" t="str">
        <f>IFERROR(AVERAGE(Data!E1532), "  ")</f>
        <v xml:space="preserve">  </v>
      </c>
      <c r="F1530" s="42" t="str">
        <f>IFERROR(AVERAGE(Data!F1532), "  ")</f>
        <v xml:space="preserve">  </v>
      </c>
      <c r="G1530" s="42" t="str">
        <f>IFERROR(AVERAGE(Data!G1532), "  ")</f>
        <v xml:space="preserve">  </v>
      </c>
      <c r="H1530" s="44" t="str">
        <f>IFERROR(AVERAGE(Data!H1532), "  ")</f>
        <v xml:space="preserve">  </v>
      </c>
      <c r="I1530" s="44" t="str">
        <f>IFERROR(AVERAGE(Data!I1532), "  ")</f>
        <v xml:space="preserve">  </v>
      </c>
      <c r="J1530" s="42" t="str">
        <f>IFERROR(AVERAGE(Data!J1532), "  ")</f>
        <v xml:space="preserve">  </v>
      </c>
      <c r="K1530" s="44" t="str">
        <f>IFERROR(AVERAGE(Data!K1532), "  ")</f>
        <v xml:space="preserve">  </v>
      </c>
      <c r="L1530" s="45" t="str">
        <f>IFERROR(AVERAGE(Data!L1532), "  ")</f>
        <v xml:space="preserve">  </v>
      </c>
    </row>
    <row r="1531" spans="1:12" x14ac:dyDescent="0.2">
      <c r="A1531" s="43"/>
      <c r="B1531" s="42" t="str">
        <f>IFERROR(AVERAGE(Data!B1533), "  ")</f>
        <v xml:space="preserve">  </v>
      </c>
      <c r="C1531" s="42" t="str">
        <f>IFERROR(AVERAGE(Data!C1533), "  ")</f>
        <v xml:space="preserve">  </v>
      </c>
      <c r="D1531" s="42" t="str">
        <f>IFERROR(AVERAGE(Data!D1533), "  ")</f>
        <v xml:space="preserve">  </v>
      </c>
      <c r="E1531" s="42" t="str">
        <f>IFERROR(AVERAGE(Data!E1533), "  ")</f>
        <v xml:space="preserve">  </v>
      </c>
      <c r="F1531" s="42" t="str">
        <f>IFERROR(AVERAGE(Data!F1533), "  ")</f>
        <v xml:space="preserve">  </v>
      </c>
      <c r="G1531" s="42" t="str">
        <f>IFERROR(AVERAGE(Data!G1533), "  ")</f>
        <v xml:space="preserve">  </v>
      </c>
      <c r="H1531" s="44" t="str">
        <f>IFERROR(AVERAGE(Data!H1533), "  ")</f>
        <v xml:space="preserve">  </v>
      </c>
      <c r="I1531" s="44" t="str">
        <f>IFERROR(AVERAGE(Data!I1533), "  ")</f>
        <v xml:space="preserve">  </v>
      </c>
      <c r="J1531" s="42" t="str">
        <f>IFERROR(AVERAGE(Data!J1533), "  ")</f>
        <v xml:space="preserve">  </v>
      </c>
      <c r="K1531" s="44" t="str">
        <f>IFERROR(AVERAGE(Data!K1533), "  ")</f>
        <v xml:space="preserve">  </v>
      </c>
      <c r="L1531" s="45" t="str">
        <f>IFERROR(AVERAGE(Data!L1533), "  ")</f>
        <v xml:space="preserve">  </v>
      </c>
    </row>
    <row r="1532" spans="1:12" x14ac:dyDescent="0.2">
      <c r="A1532" s="43"/>
      <c r="B1532" s="42" t="str">
        <f>IFERROR(AVERAGE(Data!B1534), "  ")</f>
        <v xml:space="preserve">  </v>
      </c>
      <c r="C1532" s="42" t="str">
        <f>IFERROR(AVERAGE(Data!C1534), "  ")</f>
        <v xml:space="preserve">  </v>
      </c>
      <c r="D1532" s="42" t="str">
        <f>IFERROR(AVERAGE(Data!D1534), "  ")</f>
        <v xml:space="preserve">  </v>
      </c>
      <c r="E1532" s="42" t="str">
        <f>IFERROR(AVERAGE(Data!E1534), "  ")</f>
        <v xml:space="preserve">  </v>
      </c>
      <c r="F1532" s="42" t="str">
        <f>IFERROR(AVERAGE(Data!F1534), "  ")</f>
        <v xml:space="preserve">  </v>
      </c>
      <c r="G1532" s="42" t="str">
        <f>IFERROR(AVERAGE(Data!G1534), "  ")</f>
        <v xml:space="preserve">  </v>
      </c>
      <c r="H1532" s="44" t="str">
        <f>IFERROR(AVERAGE(Data!H1534), "  ")</f>
        <v xml:space="preserve">  </v>
      </c>
      <c r="I1532" s="44" t="str">
        <f>IFERROR(AVERAGE(Data!I1534), "  ")</f>
        <v xml:space="preserve">  </v>
      </c>
      <c r="J1532" s="42" t="str">
        <f>IFERROR(AVERAGE(Data!J1534), "  ")</f>
        <v xml:space="preserve">  </v>
      </c>
      <c r="K1532" s="44" t="str">
        <f>IFERROR(AVERAGE(Data!K1534), "  ")</f>
        <v xml:space="preserve">  </v>
      </c>
      <c r="L1532" s="45" t="str">
        <f>IFERROR(AVERAGE(Data!L1534), "  ")</f>
        <v xml:space="preserve">  </v>
      </c>
    </row>
    <row r="1533" spans="1:12" x14ac:dyDescent="0.2">
      <c r="A1533" s="43"/>
      <c r="B1533" s="42" t="str">
        <f>IFERROR(AVERAGE(Data!B1535), "  ")</f>
        <v xml:space="preserve">  </v>
      </c>
      <c r="C1533" s="42" t="str">
        <f>IFERROR(AVERAGE(Data!C1535), "  ")</f>
        <v xml:space="preserve">  </v>
      </c>
      <c r="D1533" s="42" t="str">
        <f>IFERROR(AVERAGE(Data!D1535), "  ")</f>
        <v xml:space="preserve">  </v>
      </c>
      <c r="E1533" s="42" t="str">
        <f>IFERROR(AVERAGE(Data!E1535), "  ")</f>
        <v xml:space="preserve">  </v>
      </c>
      <c r="F1533" s="42" t="str">
        <f>IFERROR(AVERAGE(Data!F1535), "  ")</f>
        <v xml:space="preserve">  </v>
      </c>
      <c r="G1533" s="42" t="str">
        <f>IFERROR(AVERAGE(Data!G1535), "  ")</f>
        <v xml:space="preserve">  </v>
      </c>
      <c r="H1533" s="44" t="str">
        <f>IFERROR(AVERAGE(Data!H1535), "  ")</f>
        <v xml:space="preserve">  </v>
      </c>
      <c r="I1533" s="44" t="str">
        <f>IFERROR(AVERAGE(Data!I1535), "  ")</f>
        <v xml:space="preserve">  </v>
      </c>
      <c r="J1533" s="42" t="str">
        <f>IFERROR(AVERAGE(Data!J1535), "  ")</f>
        <v xml:space="preserve">  </v>
      </c>
      <c r="K1533" s="44" t="str">
        <f>IFERROR(AVERAGE(Data!K1535), "  ")</f>
        <v xml:space="preserve">  </v>
      </c>
      <c r="L1533" s="45" t="str">
        <f>IFERROR(AVERAGE(Data!L1535), "  ")</f>
        <v xml:space="preserve">  </v>
      </c>
    </row>
    <row r="1534" spans="1:12" x14ac:dyDescent="0.2">
      <c r="A1534" s="43"/>
      <c r="B1534" s="42" t="str">
        <f>IFERROR(AVERAGE(Data!B1536), "  ")</f>
        <v xml:space="preserve">  </v>
      </c>
      <c r="C1534" s="42" t="str">
        <f>IFERROR(AVERAGE(Data!C1536), "  ")</f>
        <v xml:space="preserve">  </v>
      </c>
      <c r="D1534" s="42" t="str">
        <f>IFERROR(AVERAGE(Data!D1536), "  ")</f>
        <v xml:space="preserve">  </v>
      </c>
      <c r="E1534" s="42" t="str">
        <f>IFERROR(AVERAGE(Data!E1536), "  ")</f>
        <v xml:space="preserve">  </v>
      </c>
      <c r="F1534" s="42" t="str">
        <f>IFERROR(AVERAGE(Data!F1536), "  ")</f>
        <v xml:space="preserve">  </v>
      </c>
      <c r="G1534" s="42" t="str">
        <f>IFERROR(AVERAGE(Data!G1536), "  ")</f>
        <v xml:space="preserve">  </v>
      </c>
      <c r="H1534" s="44" t="str">
        <f>IFERROR(AVERAGE(Data!H1536), "  ")</f>
        <v xml:space="preserve">  </v>
      </c>
      <c r="I1534" s="44" t="str">
        <f>IFERROR(AVERAGE(Data!I1536), "  ")</f>
        <v xml:space="preserve">  </v>
      </c>
      <c r="J1534" s="42" t="str">
        <f>IFERROR(AVERAGE(Data!J1536), "  ")</f>
        <v xml:space="preserve">  </v>
      </c>
      <c r="K1534" s="44" t="str">
        <f>IFERROR(AVERAGE(Data!K1536), "  ")</f>
        <v xml:space="preserve">  </v>
      </c>
      <c r="L1534" s="45" t="str">
        <f>IFERROR(AVERAGE(Data!L1536), "  ")</f>
        <v xml:space="preserve">  </v>
      </c>
    </row>
    <row r="1535" spans="1:12" x14ac:dyDescent="0.2">
      <c r="A1535" s="43"/>
      <c r="B1535" s="42" t="str">
        <f>IFERROR(AVERAGE(Data!B1537), "  ")</f>
        <v xml:space="preserve">  </v>
      </c>
      <c r="C1535" s="42" t="str">
        <f>IFERROR(AVERAGE(Data!C1537), "  ")</f>
        <v xml:space="preserve">  </v>
      </c>
      <c r="D1535" s="42" t="str">
        <f>IFERROR(AVERAGE(Data!D1537), "  ")</f>
        <v xml:space="preserve">  </v>
      </c>
      <c r="E1535" s="42" t="str">
        <f>IFERROR(AVERAGE(Data!E1537), "  ")</f>
        <v xml:space="preserve">  </v>
      </c>
      <c r="F1535" s="42" t="str">
        <f>IFERROR(AVERAGE(Data!F1537), "  ")</f>
        <v xml:space="preserve">  </v>
      </c>
      <c r="G1535" s="42" t="str">
        <f>IFERROR(AVERAGE(Data!G1537), "  ")</f>
        <v xml:space="preserve">  </v>
      </c>
      <c r="H1535" s="44" t="str">
        <f>IFERROR(AVERAGE(Data!H1537), "  ")</f>
        <v xml:space="preserve">  </v>
      </c>
      <c r="I1535" s="44" t="str">
        <f>IFERROR(AVERAGE(Data!I1537), "  ")</f>
        <v xml:space="preserve">  </v>
      </c>
      <c r="J1535" s="42" t="str">
        <f>IFERROR(AVERAGE(Data!J1537), "  ")</f>
        <v xml:space="preserve">  </v>
      </c>
      <c r="K1535" s="44" t="str">
        <f>IFERROR(AVERAGE(Data!K1537), "  ")</f>
        <v xml:space="preserve">  </v>
      </c>
      <c r="L1535" s="45" t="str">
        <f>IFERROR(AVERAGE(Data!L1537), "  ")</f>
        <v xml:space="preserve">  </v>
      </c>
    </row>
    <row r="1536" spans="1:12" x14ac:dyDescent="0.2">
      <c r="A1536" s="43"/>
      <c r="B1536" s="42" t="str">
        <f>IFERROR(AVERAGE(Data!B1538), "  ")</f>
        <v xml:space="preserve">  </v>
      </c>
      <c r="C1536" s="42" t="str">
        <f>IFERROR(AVERAGE(Data!C1538), "  ")</f>
        <v xml:space="preserve">  </v>
      </c>
      <c r="D1536" s="42" t="str">
        <f>IFERROR(AVERAGE(Data!D1538), "  ")</f>
        <v xml:space="preserve">  </v>
      </c>
      <c r="E1536" s="42" t="str">
        <f>IFERROR(AVERAGE(Data!E1538), "  ")</f>
        <v xml:space="preserve">  </v>
      </c>
      <c r="F1536" s="42" t="str">
        <f>IFERROR(AVERAGE(Data!F1538), "  ")</f>
        <v xml:space="preserve">  </v>
      </c>
      <c r="G1536" s="42" t="str">
        <f>IFERROR(AVERAGE(Data!G1538), "  ")</f>
        <v xml:space="preserve">  </v>
      </c>
      <c r="H1536" s="44" t="str">
        <f>IFERROR(AVERAGE(Data!H1538), "  ")</f>
        <v xml:space="preserve">  </v>
      </c>
      <c r="I1536" s="44" t="str">
        <f>IFERROR(AVERAGE(Data!I1538), "  ")</f>
        <v xml:space="preserve">  </v>
      </c>
      <c r="J1536" s="42" t="str">
        <f>IFERROR(AVERAGE(Data!J1538), "  ")</f>
        <v xml:space="preserve">  </v>
      </c>
      <c r="K1536" s="44" t="str">
        <f>IFERROR(AVERAGE(Data!K1538), "  ")</f>
        <v xml:space="preserve">  </v>
      </c>
      <c r="L1536" s="45" t="str">
        <f>IFERROR(AVERAGE(Data!L1538), "  ")</f>
        <v xml:space="preserve">  </v>
      </c>
    </row>
    <row r="1537" spans="1:12" x14ac:dyDescent="0.2">
      <c r="A1537" s="43"/>
      <c r="B1537" s="42" t="str">
        <f>IFERROR(AVERAGE(Data!B1539), "  ")</f>
        <v xml:space="preserve">  </v>
      </c>
      <c r="C1537" s="42" t="str">
        <f>IFERROR(AVERAGE(Data!C1539), "  ")</f>
        <v xml:space="preserve">  </v>
      </c>
      <c r="D1537" s="42" t="str">
        <f>IFERROR(AVERAGE(Data!D1539), "  ")</f>
        <v xml:space="preserve">  </v>
      </c>
      <c r="E1537" s="42" t="str">
        <f>IFERROR(AVERAGE(Data!E1539), "  ")</f>
        <v xml:space="preserve">  </v>
      </c>
      <c r="F1537" s="42" t="str">
        <f>IFERROR(AVERAGE(Data!F1539), "  ")</f>
        <v xml:space="preserve">  </v>
      </c>
      <c r="G1537" s="42" t="str">
        <f>IFERROR(AVERAGE(Data!G1539), "  ")</f>
        <v xml:space="preserve">  </v>
      </c>
      <c r="H1537" s="44" t="str">
        <f>IFERROR(AVERAGE(Data!H1539), "  ")</f>
        <v xml:space="preserve">  </v>
      </c>
      <c r="I1537" s="44" t="str">
        <f>IFERROR(AVERAGE(Data!I1539), "  ")</f>
        <v xml:space="preserve">  </v>
      </c>
      <c r="J1537" s="42" t="str">
        <f>IFERROR(AVERAGE(Data!J1539), "  ")</f>
        <v xml:space="preserve">  </v>
      </c>
      <c r="K1537" s="44" t="str">
        <f>IFERROR(AVERAGE(Data!K1539), "  ")</f>
        <v xml:space="preserve">  </v>
      </c>
      <c r="L1537" s="45" t="str">
        <f>IFERROR(AVERAGE(Data!L1539), "  ")</f>
        <v xml:space="preserve">  </v>
      </c>
    </row>
    <row r="1538" spans="1:12" x14ac:dyDescent="0.2">
      <c r="A1538" s="43"/>
      <c r="B1538" s="42" t="str">
        <f>IFERROR(AVERAGE(Data!B1540), "  ")</f>
        <v xml:space="preserve">  </v>
      </c>
      <c r="C1538" s="42" t="str">
        <f>IFERROR(AVERAGE(Data!C1540), "  ")</f>
        <v xml:space="preserve">  </v>
      </c>
      <c r="D1538" s="42" t="str">
        <f>IFERROR(AVERAGE(Data!D1540), "  ")</f>
        <v xml:space="preserve">  </v>
      </c>
      <c r="E1538" s="42" t="str">
        <f>IFERROR(AVERAGE(Data!E1540), "  ")</f>
        <v xml:space="preserve">  </v>
      </c>
      <c r="F1538" s="42" t="str">
        <f>IFERROR(AVERAGE(Data!F1540), "  ")</f>
        <v xml:space="preserve">  </v>
      </c>
      <c r="G1538" s="42" t="str">
        <f>IFERROR(AVERAGE(Data!G1540), "  ")</f>
        <v xml:space="preserve">  </v>
      </c>
      <c r="H1538" s="44" t="str">
        <f>IFERROR(AVERAGE(Data!H1540), "  ")</f>
        <v xml:space="preserve">  </v>
      </c>
      <c r="I1538" s="44" t="str">
        <f>IFERROR(AVERAGE(Data!I1540), "  ")</f>
        <v xml:space="preserve">  </v>
      </c>
      <c r="J1538" s="42" t="str">
        <f>IFERROR(AVERAGE(Data!J1540), "  ")</f>
        <v xml:space="preserve">  </v>
      </c>
      <c r="K1538" s="44" t="str">
        <f>IFERROR(AVERAGE(Data!K1540), "  ")</f>
        <v xml:space="preserve">  </v>
      </c>
      <c r="L1538" s="45" t="str">
        <f>IFERROR(AVERAGE(Data!L1540), "  ")</f>
        <v xml:space="preserve">  </v>
      </c>
    </row>
    <row r="1539" spans="1:12" x14ac:dyDescent="0.2">
      <c r="A1539" s="43"/>
      <c r="B1539" s="42" t="str">
        <f>IFERROR(AVERAGE(Data!B1541), "  ")</f>
        <v xml:space="preserve">  </v>
      </c>
      <c r="C1539" s="42" t="str">
        <f>IFERROR(AVERAGE(Data!C1541), "  ")</f>
        <v xml:space="preserve">  </v>
      </c>
      <c r="D1539" s="42" t="str">
        <f>IFERROR(AVERAGE(Data!D1541), "  ")</f>
        <v xml:space="preserve">  </v>
      </c>
      <c r="E1539" s="42" t="str">
        <f>IFERROR(AVERAGE(Data!E1541), "  ")</f>
        <v xml:space="preserve">  </v>
      </c>
      <c r="F1539" s="42" t="str">
        <f>IFERROR(AVERAGE(Data!F1541), "  ")</f>
        <v xml:space="preserve">  </v>
      </c>
      <c r="G1539" s="42" t="str">
        <f>IFERROR(AVERAGE(Data!G1541), "  ")</f>
        <v xml:space="preserve">  </v>
      </c>
      <c r="H1539" s="44" t="str">
        <f>IFERROR(AVERAGE(Data!H1541), "  ")</f>
        <v xml:space="preserve">  </v>
      </c>
      <c r="I1539" s="44" t="str">
        <f>IFERROR(AVERAGE(Data!I1541), "  ")</f>
        <v xml:space="preserve">  </v>
      </c>
      <c r="J1539" s="42" t="str">
        <f>IFERROR(AVERAGE(Data!J1541), "  ")</f>
        <v xml:space="preserve">  </v>
      </c>
      <c r="K1539" s="44" t="str">
        <f>IFERROR(AVERAGE(Data!K1541), "  ")</f>
        <v xml:space="preserve">  </v>
      </c>
      <c r="L1539" s="45" t="str">
        <f>IFERROR(AVERAGE(Data!L1541), "  ")</f>
        <v xml:space="preserve">  </v>
      </c>
    </row>
    <row r="1540" spans="1:12" x14ac:dyDescent="0.2">
      <c r="A1540" s="43"/>
      <c r="B1540" s="42" t="str">
        <f>IFERROR(AVERAGE(Data!B1542), "  ")</f>
        <v xml:space="preserve">  </v>
      </c>
      <c r="C1540" s="42" t="str">
        <f>IFERROR(AVERAGE(Data!C1542), "  ")</f>
        <v xml:space="preserve">  </v>
      </c>
      <c r="D1540" s="42" t="str">
        <f>IFERROR(AVERAGE(Data!D1542), "  ")</f>
        <v xml:space="preserve">  </v>
      </c>
      <c r="E1540" s="42" t="str">
        <f>IFERROR(AVERAGE(Data!E1542), "  ")</f>
        <v xml:space="preserve">  </v>
      </c>
      <c r="F1540" s="42" t="str">
        <f>IFERROR(AVERAGE(Data!F1542), "  ")</f>
        <v xml:space="preserve">  </v>
      </c>
      <c r="G1540" s="42" t="str">
        <f>IFERROR(AVERAGE(Data!G1542), "  ")</f>
        <v xml:space="preserve">  </v>
      </c>
      <c r="H1540" s="44" t="str">
        <f>IFERROR(AVERAGE(Data!H1542), "  ")</f>
        <v xml:space="preserve">  </v>
      </c>
      <c r="I1540" s="44" t="str">
        <f>IFERROR(AVERAGE(Data!I1542), "  ")</f>
        <v xml:space="preserve">  </v>
      </c>
      <c r="J1540" s="42" t="str">
        <f>IFERROR(AVERAGE(Data!J1542), "  ")</f>
        <v xml:space="preserve">  </v>
      </c>
      <c r="K1540" s="44" t="str">
        <f>IFERROR(AVERAGE(Data!K1542), "  ")</f>
        <v xml:space="preserve">  </v>
      </c>
      <c r="L1540" s="45" t="str">
        <f>IFERROR(AVERAGE(Data!L1542), "  ")</f>
        <v xml:space="preserve">  </v>
      </c>
    </row>
    <row r="1541" spans="1:12" x14ac:dyDescent="0.2">
      <c r="A1541" s="43"/>
      <c r="B1541" s="42" t="str">
        <f>IFERROR(AVERAGE(Data!B1543), "  ")</f>
        <v xml:space="preserve">  </v>
      </c>
      <c r="C1541" s="42" t="str">
        <f>IFERROR(AVERAGE(Data!C1543), "  ")</f>
        <v xml:space="preserve">  </v>
      </c>
      <c r="D1541" s="42" t="str">
        <f>IFERROR(AVERAGE(Data!D1543), "  ")</f>
        <v xml:space="preserve">  </v>
      </c>
      <c r="E1541" s="42" t="str">
        <f>IFERROR(AVERAGE(Data!E1543), "  ")</f>
        <v xml:space="preserve">  </v>
      </c>
      <c r="F1541" s="42" t="str">
        <f>IFERROR(AVERAGE(Data!F1543), "  ")</f>
        <v xml:space="preserve">  </v>
      </c>
      <c r="G1541" s="42" t="str">
        <f>IFERROR(AVERAGE(Data!G1543), "  ")</f>
        <v xml:space="preserve">  </v>
      </c>
      <c r="H1541" s="44" t="str">
        <f>IFERROR(AVERAGE(Data!H1543), "  ")</f>
        <v xml:space="preserve">  </v>
      </c>
      <c r="I1541" s="44" t="str">
        <f>IFERROR(AVERAGE(Data!I1543), "  ")</f>
        <v xml:space="preserve">  </v>
      </c>
      <c r="J1541" s="42" t="str">
        <f>IFERROR(AVERAGE(Data!J1543), "  ")</f>
        <v xml:space="preserve">  </v>
      </c>
      <c r="K1541" s="44" t="str">
        <f>IFERROR(AVERAGE(Data!K1543), "  ")</f>
        <v xml:space="preserve">  </v>
      </c>
      <c r="L1541" s="45" t="str">
        <f>IFERROR(AVERAGE(Data!L1543), "  ")</f>
        <v xml:space="preserve">  </v>
      </c>
    </row>
    <row r="1542" spans="1:12" x14ac:dyDescent="0.2">
      <c r="A1542" s="43"/>
      <c r="B1542" s="42" t="str">
        <f>IFERROR(AVERAGE(Data!B1544), "  ")</f>
        <v xml:space="preserve">  </v>
      </c>
      <c r="C1542" s="42" t="str">
        <f>IFERROR(AVERAGE(Data!C1544), "  ")</f>
        <v xml:space="preserve">  </v>
      </c>
      <c r="D1542" s="42" t="str">
        <f>IFERROR(AVERAGE(Data!D1544), "  ")</f>
        <v xml:space="preserve">  </v>
      </c>
      <c r="E1542" s="42" t="str">
        <f>IFERROR(AVERAGE(Data!E1544), "  ")</f>
        <v xml:space="preserve">  </v>
      </c>
      <c r="F1542" s="42" t="str">
        <f>IFERROR(AVERAGE(Data!F1544), "  ")</f>
        <v xml:space="preserve">  </v>
      </c>
      <c r="G1542" s="42" t="str">
        <f>IFERROR(AVERAGE(Data!G1544), "  ")</f>
        <v xml:space="preserve">  </v>
      </c>
      <c r="H1542" s="44" t="str">
        <f>IFERROR(AVERAGE(Data!H1544), "  ")</f>
        <v xml:space="preserve">  </v>
      </c>
      <c r="I1542" s="44" t="str">
        <f>IFERROR(AVERAGE(Data!I1544), "  ")</f>
        <v xml:space="preserve">  </v>
      </c>
      <c r="J1542" s="42" t="str">
        <f>IFERROR(AVERAGE(Data!J1544), "  ")</f>
        <v xml:space="preserve">  </v>
      </c>
      <c r="K1542" s="44" t="str">
        <f>IFERROR(AVERAGE(Data!K1544), "  ")</f>
        <v xml:space="preserve">  </v>
      </c>
      <c r="L1542" s="45" t="str">
        <f>IFERROR(AVERAGE(Data!L1544), "  ")</f>
        <v xml:space="preserve">  </v>
      </c>
    </row>
    <row r="1543" spans="1:12" x14ac:dyDescent="0.2">
      <c r="A1543" s="43"/>
      <c r="B1543" s="42" t="str">
        <f>IFERROR(AVERAGE(Data!B1545), "  ")</f>
        <v xml:space="preserve">  </v>
      </c>
      <c r="C1543" s="42" t="str">
        <f>IFERROR(AVERAGE(Data!C1545), "  ")</f>
        <v xml:space="preserve">  </v>
      </c>
      <c r="D1543" s="42" t="str">
        <f>IFERROR(AVERAGE(Data!D1545), "  ")</f>
        <v xml:space="preserve">  </v>
      </c>
      <c r="E1543" s="42" t="str">
        <f>IFERROR(AVERAGE(Data!E1545), "  ")</f>
        <v xml:space="preserve">  </v>
      </c>
      <c r="F1543" s="42" t="str">
        <f>IFERROR(AVERAGE(Data!F1545), "  ")</f>
        <v xml:space="preserve">  </v>
      </c>
      <c r="G1543" s="42" t="str">
        <f>IFERROR(AVERAGE(Data!G1545), "  ")</f>
        <v xml:space="preserve">  </v>
      </c>
      <c r="H1543" s="44" t="str">
        <f>IFERROR(AVERAGE(Data!H1545), "  ")</f>
        <v xml:space="preserve">  </v>
      </c>
      <c r="I1543" s="44" t="str">
        <f>IFERROR(AVERAGE(Data!I1545), "  ")</f>
        <v xml:space="preserve">  </v>
      </c>
      <c r="J1543" s="42" t="str">
        <f>IFERROR(AVERAGE(Data!J1545), "  ")</f>
        <v xml:space="preserve">  </v>
      </c>
      <c r="K1543" s="44" t="str">
        <f>IFERROR(AVERAGE(Data!K1545), "  ")</f>
        <v xml:space="preserve">  </v>
      </c>
      <c r="L1543" s="45" t="str">
        <f>IFERROR(AVERAGE(Data!L1545), "  ")</f>
        <v xml:space="preserve">  </v>
      </c>
    </row>
    <row r="1544" spans="1:12" x14ac:dyDescent="0.2">
      <c r="A1544" s="43"/>
      <c r="B1544" s="42" t="str">
        <f>IFERROR(AVERAGE(Data!B1546), "  ")</f>
        <v xml:space="preserve">  </v>
      </c>
      <c r="C1544" s="42" t="str">
        <f>IFERROR(AVERAGE(Data!C1546), "  ")</f>
        <v xml:space="preserve">  </v>
      </c>
      <c r="D1544" s="42" t="str">
        <f>IFERROR(AVERAGE(Data!D1546), "  ")</f>
        <v xml:space="preserve">  </v>
      </c>
      <c r="E1544" s="42" t="str">
        <f>IFERROR(AVERAGE(Data!E1546), "  ")</f>
        <v xml:space="preserve">  </v>
      </c>
      <c r="F1544" s="42" t="str">
        <f>IFERROR(AVERAGE(Data!F1546), "  ")</f>
        <v xml:space="preserve">  </v>
      </c>
      <c r="G1544" s="42" t="str">
        <f>IFERROR(AVERAGE(Data!G1546), "  ")</f>
        <v xml:space="preserve">  </v>
      </c>
      <c r="H1544" s="44" t="str">
        <f>IFERROR(AVERAGE(Data!H1546), "  ")</f>
        <v xml:space="preserve">  </v>
      </c>
      <c r="I1544" s="44" t="str">
        <f>IFERROR(AVERAGE(Data!I1546), "  ")</f>
        <v xml:space="preserve">  </v>
      </c>
      <c r="J1544" s="42" t="str">
        <f>IFERROR(AVERAGE(Data!J1546), "  ")</f>
        <v xml:space="preserve">  </v>
      </c>
      <c r="K1544" s="44" t="str">
        <f>IFERROR(AVERAGE(Data!K1546), "  ")</f>
        <v xml:space="preserve">  </v>
      </c>
      <c r="L1544" s="45" t="str">
        <f>IFERROR(AVERAGE(Data!L1546), "  ")</f>
        <v xml:space="preserve">  </v>
      </c>
    </row>
    <row r="1545" spans="1:12" x14ac:dyDescent="0.2">
      <c r="A1545" s="43"/>
      <c r="B1545" s="42" t="str">
        <f>IFERROR(AVERAGE(Data!B1547), "  ")</f>
        <v xml:space="preserve">  </v>
      </c>
      <c r="C1545" s="42" t="str">
        <f>IFERROR(AVERAGE(Data!C1547), "  ")</f>
        <v xml:space="preserve">  </v>
      </c>
      <c r="D1545" s="42" t="str">
        <f>IFERROR(AVERAGE(Data!D1547), "  ")</f>
        <v xml:space="preserve">  </v>
      </c>
      <c r="E1545" s="42" t="str">
        <f>IFERROR(AVERAGE(Data!E1547), "  ")</f>
        <v xml:space="preserve">  </v>
      </c>
      <c r="F1545" s="42" t="str">
        <f>IFERROR(AVERAGE(Data!F1547), "  ")</f>
        <v xml:space="preserve">  </v>
      </c>
      <c r="G1545" s="42" t="str">
        <f>IFERROR(AVERAGE(Data!G1547), "  ")</f>
        <v xml:space="preserve">  </v>
      </c>
      <c r="H1545" s="44" t="str">
        <f>IFERROR(AVERAGE(Data!H1547), "  ")</f>
        <v xml:space="preserve">  </v>
      </c>
      <c r="I1545" s="44" t="str">
        <f>IFERROR(AVERAGE(Data!I1547), "  ")</f>
        <v xml:space="preserve">  </v>
      </c>
      <c r="J1545" s="42" t="str">
        <f>IFERROR(AVERAGE(Data!J1547), "  ")</f>
        <v xml:space="preserve">  </v>
      </c>
      <c r="K1545" s="44" t="str">
        <f>IFERROR(AVERAGE(Data!K1547), "  ")</f>
        <v xml:space="preserve">  </v>
      </c>
      <c r="L1545" s="45" t="str">
        <f>IFERROR(AVERAGE(Data!L1547), "  ")</f>
        <v xml:space="preserve">  </v>
      </c>
    </row>
    <row r="1546" spans="1:12" x14ac:dyDescent="0.2">
      <c r="A1546" s="43"/>
      <c r="B1546" s="42" t="str">
        <f>IFERROR(AVERAGE(Data!B1548), "  ")</f>
        <v xml:space="preserve">  </v>
      </c>
      <c r="C1546" s="42" t="str">
        <f>IFERROR(AVERAGE(Data!C1548), "  ")</f>
        <v xml:space="preserve">  </v>
      </c>
      <c r="D1546" s="42" t="str">
        <f>IFERROR(AVERAGE(Data!D1548), "  ")</f>
        <v xml:space="preserve">  </v>
      </c>
      <c r="E1546" s="42" t="str">
        <f>IFERROR(AVERAGE(Data!E1548), "  ")</f>
        <v xml:space="preserve">  </v>
      </c>
      <c r="F1546" s="42" t="str">
        <f>IFERROR(AVERAGE(Data!F1548), "  ")</f>
        <v xml:space="preserve">  </v>
      </c>
      <c r="G1546" s="42" t="str">
        <f>IFERROR(AVERAGE(Data!G1548), "  ")</f>
        <v xml:space="preserve">  </v>
      </c>
      <c r="H1546" s="44" t="str">
        <f>IFERROR(AVERAGE(Data!H1548), "  ")</f>
        <v xml:space="preserve">  </v>
      </c>
      <c r="I1546" s="44" t="str">
        <f>IFERROR(AVERAGE(Data!I1548), "  ")</f>
        <v xml:space="preserve">  </v>
      </c>
      <c r="J1546" s="42" t="str">
        <f>IFERROR(AVERAGE(Data!J1548), "  ")</f>
        <v xml:space="preserve">  </v>
      </c>
      <c r="K1546" s="44" t="str">
        <f>IFERROR(AVERAGE(Data!K1548), "  ")</f>
        <v xml:space="preserve">  </v>
      </c>
      <c r="L1546" s="45" t="str">
        <f>IFERROR(AVERAGE(Data!L1548), "  ")</f>
        <v xml:space="preserve">  </v>
      </c>
    </row>
    <row r="1547" spans="1:12" x14ac:dyDescent="0.2">
      <c r="A1547" s="43"/>
      <c r="B1547" s="42" t="str">
        <f>IFERROR(AVERAGE(Data!B1549), "  ")</f>
        <v xml:space="preserve">  </v>
      </c>
      <c r="C1547" s="42" t="str">
        <f>IFERROR(AVERAGE(Data!C1549), "  ")</f>
        <v xml:space="preserve">  </v>
      </c>
      <c r="D1547" s="42" t="str">
        <f>IFERROR(AVERAGE(Data!D1549), "  ")</f>
        <v xml:space="preserve">  </v>
      </c>
      <c r="E1547" s="42" t="str">
        <f>IFERROR(AVERAGE(Data!E1549), "  ")</f>
        <v xml:space="preserve">  </v>
      </c>
      <c r="F1547" s="42" t="str">
        <f>IFERROR(AVERAGE(Data!F1549), "  ")</f>
        <v xml:space="preserve">  </v>
      </c>
      <c r="G1547" s="42" t="str">
        <f>IFERROR(AVERAGE(Data!G1549), "  ")</f>
        <v xml:space="preserve">  </v>
      </c>
      <c r="H1547" s="44" t="str">
        <f>IFERROR(AVERAGE(Data!H1549), "  ")</f>
        <v xml:space="preserve">  </v>
      </c>
      <c r="I1547" s="44" t="str">
        <f>IFERROR(AVERAGE(Data!I1549), "  ")</f>
        <v xml:space="preserve">  </v>
      </c>
      <c r="J1547" s="42" t="str">
        <f>IFERROR(AVERAGE(Data!J1549), "  ")</f>
        <v xml:space="preserve">  </v>
      </c>
      <c r="K1547" s="44" t="str">
        <f>IFERROR(AVERAGE(Data!K1549), "  ")</f>
        <v xml:space="preserve">  </v>
      </c>
      <c r="L1547" s="45" t="str">
        <f>IFERROR(AVERAGE(Data!L1549), "  ")</f>
        <v xml:space="preserve">  </v>
      </c>
    </row>
    <row r="1548" spans="1:12" x14ac:dyDescent="0.2">
      <c r="A1548" s="43"/>
      <c r="B1548" s="42" t="str">
        <f>IFERROR(AVERAGE(Data!B1550), "  ")</f>
        <v xml:space="preserve">  </v>
      </c>
      <c r="C1548" s="42" t="str">
        <f>IFERROR(AVERAGE(Data!C1550), "  ")</f>
        <v xml:space="preserve">  </v>
      </c>
      <c r="D1548" s="42" t="str">
        <f>IFERROR(AVERAGE(Data!D1550), "  ")</f>
        <v xml:space="preserve">  </v>
      </c>
      <c r="E1548" s="42" t="str">
        <f>IFERROR(AVERAGE(Data!E1550), "  ")</f>
        <v xml:space="preserve">  </v>
      </c>
      <c r="F1548" s="42" t="str">
        <f>IFERROR(AVERAGE(Data!F1550), "  ")</f>
        <v xml:space="preserve">  </v>
      </c>
      <c r="G1548" s="42" t="str">
        <f>IFERROR(AVERAGE(Data!G1550), "  ")</f>
        <v xml:space="preserve">  </v>
      </c>
      <c r="H1548" s="44" t="str">
        <f>IFERROR(AVERAGE(Data!H1550), "  ")</f>
        <v xml:space="preserve">  </v>
      </c>
      <c r="I1548" s="44" t="str">
        <f>IFERROR(AVERAGE(Data!I1550), "  ")</f>
        <v xml:space="preserve">  </v>
      </c>
      <c r="J1548" s="42" t="str">
        <f>IFERROR(AVERAGE(Data!J1550), "  ")</f>
        <v xml:space="preserve">  </v>
      </c>
      <c r="K1548" s="44" t="str">
        <f>IFERROR(AVERAGE(Data!K1550), "  ")</f>
        <v xml:space="preserve">  </v>
      </c>
      <c r="L1548" s="45" t="str">
        <f>IFERROR(AVERAGE(Data!L1550), "  ")</f>
        <v xml:space="preserve">  </v>
      </c>
    </row>
    <row r="1549" spans="1:12" x14ac:dyDescent="0.2">
      <c r="A1549" s="43"/>
      <c r="B1549" s="42" t="str">
        <f>IFERROR(AVERAGE(Data!B1551), "  ")</f>
        <v xml:space="preserve">  </v>
      </c>
      <c r="C1549" s="42" t="str">
        <f>IFERROR(AVERAGE(Data!C1551), "  ")</f>
        <v xml:space="preserve">  </v>
      </c>
      <c r="D1549" s="42" t="str">
        <f>IFERROR(AVERAGE(Data!D1551), "  ")</f>
        <v xml:space="preserve">  </v>
      </c>
      <c r="E1549" s="42" t="str">
        <f>IFERROR(AVERAGE(Data!E1551), "  ")</f>
        <v xml:space="preserve">  </v>
      </c>
      <c r="F1549" s="42" t="str">
        <f>IFERROR(AVERAGE(Data!F1551), "  ")</f>
        <v xml:space="preserve">  </v>
      </c>
      <c r="G1549" s="42" t="str">
        <f>IFERROR(AVERAGE(Data!G1551), "  ")</f>
        <v xml:space="preserve">  </v>
      </c>
      <c r="H1549" s="44" t="str">
        <f>IFERROR(AVERAGE(Data!H1551), "  ")</f>
        <v xml:space="preserve">  </v>
      </c>
      <c r="I1549" s="44" t="str">
        <f>IFERROR(AVERAGE(Data!I1551), "  ")</f>
        <v xml:space="preserve">  </v>
      </c>
      <c r="J1549" s="42" t="str">
        <f>IFERROR(AVERAGE(Data!J1551), "  ")</f>
        <v xml:space="preserve">  </v>
      </c>
      <c r="K1549" s="44" t="str">
        <f>IFERROR(AVERAGE(Data!K1551), "  ")</f>
        <v xml:space="preserve">  </v>
      </c>
      <c r="L1549" s="45" t="str">
        <f>IFERROR(AVERAGE(Data!L1551), "  ")</f>
        <v xml:space="preserve">  </v>
      </c>
    </row>
    <row r="1550" spans="1:12" x14ac:dyDescent="0.2">
      <c r="A1550" s="43"/>
      <c r="B1550" s="42" t="str">
        <f>IFERROR(AVERAGE(Data!B1552), "  ")</f>
        <v xml:space="preserve">  </v>
      </c>
      <c r="C1550" s="42" t="str">
        <f>IFERROR(AVERAGE(Data!C1552), "  ")</f>
        <v xml:space="preserve">  </v>
      </c>
      <c r="D1550" s="42" t="str">
        <f>IFERROR(AVERAGE(Data!D1552), "  ")</f>
        <v xml:space="preserve">  </v>
      </c>
      <c r="E1550" s="42" t="str">
        <f>IFERROR(AVERAGE(Data!E1552), "  ")</f>
        <v xml:space="preserve">  </v>
      </c>
      <c r="F1550" s="42" t="str">
        <f>IFERROR(AVERAGE(Data!F1552), "  ")</f>
        <v xml:space="preserve">  </v>
      </c>
      <c r="G1550" s="42" t="str">
        <f>IFERROR(AVERAGE(Data!G1552), "  ")</f>
        <v xml:space="preserve">  </v>
      </c>
      <c r="H1550" s="44" t="str">
        <f>IFERROR(AVERAGE(Data!H1552), "  ")</f>
        <v xml:space="preserve">  </v>
      </c>
      <c r="I1550" s="44" t="str">
        <f>IFERROR(AVERAGE(Data!I1552), "  ")</f>
        <v xml:space="preserve">  </v>
      </c>
      <c r="J1550" s="42" t="str">
        <f>IFERROR(AVERAGE(Data!J1552), "  ")</f>
        <v xml:space="preserve">  </v>
      </c>
      <c r="K1550" s="44" t="str">
        <f>IFERROR(AVERAGE(Data!K1552), "  ")</f>
        <v xml:space="preserve">  </v>
      </c>
      <c r="L1550" s="45" t="str">
        <f>IFERROR(AVERAGE(Data!L1552), "  ")</f>
        <v xml:space="preserve">  </v>
      </c>
    </row>
    <row r="1551" spans="1:12" x14ac:dyDescent="0.2">
      <c r="A1551" s="43"/>
      <c r="B1551" s="42" t="str">
        <f>IFERROR(AVERAGE(Data!B1553), "  ")</f>
        <v xml:space="preserve">  </v>
      </c>
      <c r="C1551" s="42" t="str">
        <f>IFERROR(AVERAGE(Data!C1553), "  ")</f>
        <v xml:space="preserve">  </v>
      </c>
      <c r="D1551" s="42" t="str">
        <f>IFERROR(AVERAGE(Data!D1553), "  ")</f>
        <v xml:space="preserve">  </v>
      </c>
      <c r="E1551" s="42" t="str">
        <f>IFERROR(AVERAGE(Data!E1553), "  ")</f>
        <v xml:space="preserve">  </v>
      </c>
      <c r="F1551" s="42" t="str">
        <f>IFERROR(AVERAGE(Data!F1553), "  ")</f>
        <v xml:space="preserve">  </v>
      </c>
      <c r="G1551" s="42" t="str">
        <f>IFERROR(AVERAGE(Data!G1553), "  ")</f>
        <v xml:space="preserve">  </v>
      </c>
      <c r="H1551" s="44" t="str">
        <f>IFERROR(AVERAGE(Data!H1553), "  ")</f>
        <v xml:space="preserve">  </v>
      </c>
      <c r="I1551" s="44" t="str">
        <f>IFERROR(AVERAGE(Data!I1553), "  ")</f>
        <v xml:space="preserve">  </v>
      </c>
      <c r="J1551" s="42" t="str">
        <f>IFERROR(AVERAGE(Data!J1553), "  ")</f>
        <v xml:space="preserve">  </v>
      </c>
      <c r="K1551" s="44" t="str">
        <f>IFERROR(AVERAGE(Data!K1553), "  ")</f>
        <v xml:space="preserve">  </v>
      </c>
      <c r="L1551" s="45" t="str">
        <f>IFERROR(AVERAGE(Data!L1553), "  ")</f>
        <v xml:space="preserve">  </v>
      </c>
    </row>
    <row r="1552" spans="1:12" x14ac:dyDescent="0.2">
      <c r="A1552" s="43"/>
      <c r="B1552" s="42" t="str">
        <f>IFERROR(AVERAGE(Data!B1554), "  ")</f>
        <v xml:space="preserve">  </v>
      </c>
      <c r="C1552" s="42" t="str">
        <f>IFERROR(AVERAGE(Data!C1554), "  ")</f>
        <v xml:space="preserve">  </v>
      </c>
      <c r="D1552" s="42" t="str">
        <f>IFERROR(AVERAGE(Data!D1554), "  ")</f>
        <v xml:space="preserve">  </v>
      </c>
      <c r="E1552" s="42" t="str">
        <f>IFERROR(AVERAGE(Data!E1554), "  ")</f>
        <v xml:space="preserve">  </v>
      </c>
      <c r="F1552" s="42" t="str">
        <f>IFERROR(AVERAGE(Data!F1554), "  ")</f>
        <v xml:space="preserve">  </v>
      </c>
      <c r="G1552" s="42" t="str">
        <f>IFERROR(AVERAGE(Data!G1554), "  ")</f>
        <v xml:space="preserve">  </v>
      </c>
      <c r="H1552" s="44" t="str">
        <f>IFERROR(AVERAGE(Data!H1554), "  ")</f>
        <v xml:space="preserve">  </v>
      </c>
      <c r="I1552" s="44" t="str">
        <f>IFERROR(AVERAGE(Data!I1554), "  ")</f>
        <v xml:space="preserve">  </v>
      </c>
      <c r="J1552" s="42" t="str">
        <f>IFERROR(AVERAGE(Data!J1554), "  ")</f>
        <v xml:space="preserve">  </v>
      </c>
      <c r="K1552" s="44" t="str">
        <f>IFERROR(AVERAGE(Data!K1554), "  ")</f>
        <v xml:space="preserve">  </v>
      </c>
      <c r="L1552" s="45" t="str">
        <f>IFERROR(AVERAGE(Data!L1554), "  ")</f>
        <v xml:space="preserve">  </v>
      </c>
    </row>
    <row r="1553" spans="1:12" x14ac:dyDescent="0.2">
      <c r="A1553" s="43"/>
      <c r="B1553" s="42" t="str">
        <f>IFERROR(AVERAGE(Data!B1555), "  ")</f>
        <v xml:space="preserve">  </v>
      </c>
      <c r="C1553" s="42" t="str">
        <f>IFERROR(AVERAGE(Data!C1555), "  ")</f>
        <v xml:space="preserve">  </v>
      </c>
      <c r="D1553" s="42" t="str">
        <f>IFERROR(AVERAGE(Data!D1555), "  ")</f>
        <v xml:space="preserve">  </v>
      </c>
      <c r="E1553" s="42" t="str">
        <f>IFERROR(AVERAGE(Data!E1555), "  ")</f>
        <v xml:space="preserve">  </v>
      </c>
      <c r="F1553" s="42" t="str">
        <f>IFERROR(AVERAGE(Data!F1555), "  ")</f>
        <v xml:space="preserve">  </v>
      </c>
      <c r="G1553" s="42" t="str">
        <f>IFERROR(AVERAGE(Data!G1555), "  ")</f>
        <v xml:space="preserve">  </v>
      </c>
      <c r="H1553" s="44" t="str">
        <f>IFERROR(AVERAGE(Data!H1555), "  ")</f>
        <v xml:space="preserve">  </v>
      </c>
      <c r="I1553" s="44" t="str">
        <f>IFERROR(AVERAGE(Data!I1555), "  ")</f>
        <v xml:space="preserve">  </v>
      </c>
      <c r="J1553" s="42" t="str">
        <f>IFERROR(AVERAGE(Data!J1555), "  ")</f>
        <v xml:space="preserve">  </v>
      </c>
      <c r="K1553" s="44" t="str">
        <f>IFERROR(AVERAGE(Data!K1555), "  ")</f>
        <v xml:space="preserve">  </v>
      </c>
      <c r="L1553" s="45" t="str">
        <f>IFERROR(AVERAGE(Data!L1555), "  ")</f>
        <v xml:space="preserve">  </v>
      </c>
    </row>
    <row r="1554" spans="1:12" x14ac:dyDescent="0.2">
      <c r="A1554" s="43"/>
      <c r="B1554" s="42" t="str">
        <f>IFERROR(AVERAGE(Data!B1556), "  ")</f>
        <v xml:space="preserve">  </v>
      </c>
      <c r="C1554" s="42" t="str">
        <f>IFERROR(AVERAGE(Data!C1556), "  ")</f>
        <v xml:space="preserve">  </v>
      </c>
      <c r="D1554" s="42" t="str">
        <f>IFERROR(AVERAGE(Data!D1556), "  ")</f>
        <v xml:space="preserve">  </v>
      </c>
      <c r="E1554" s="42" t="str">
        <f>IFERROR(AVERAGE(Data!E1556), "  ")</f>
        <v xml:space="preserve">  </v>
      </c>
      <c r="F1554" s="42" t="str">
        <f>IFERROR(AVERAGE(Data!F1556), "  ")</f>
        <v xml:space="preserve">  </v>
      </c>
      <c r="G1554" s="42" t="str">
        <f>IFERROR(AVERAGE(Data!G1556), "  ")</f>
        <v xml:space="preserve">  </v>
      </c>
      <c r="H1554" s="44" t="str">
        <f>IFERROR(AVERAGE(Data!H1556), "  ")</f>
        <v xml:space="preserve">  </v>
      </c>
      <c r="I1554" s="44" t="str">
        <f>IFERROR(AVERAGE(Data!I1556), "  ")</f>
        <v xml:space="preserve">  </v>
      </c>
      <c r="J1554" s="42" t="str">
        <f>IFERROR(AVERAGE(Data!J1556), "  ")</f>
        <v xml:space="preserve">  </v>
      </c>
      <c r="K1554" s="44" t="str">
        <f>IFERROR(AVERAGE(Data!K1556), "  ")</f>
        <v xml:space="preserve">  </v>
      </c>
      <c r="L1554" s="45" t="str">
        <f>IFERROR(AVERAGE(Data!L1556), "  ")</f>
        <v xml:space="preserve">  </v>
      </c>
    </row>
    <row r="1555" spans="1:12" x14ac:dyDescent="0.2">
      <c r="A1555" s="43"/>
      <c r="B1555" s="42" t="str">
        <f>IFERROR(AVERAGE(Data!B1557), "  ")</f>
        <v xml:space="preserve">  </v>
      </c>
      <c r="C1555" s="42" t="str">
        <f>IFERROR(AVERAGE(Data!C1557), "  ")</f>
        <v xml:space="preserve">  </v>
      </c>
      <c r="D1555" s="42" t="str">
        <f>IFERROR(AVERAGE(Data!D1557), "  ")</f>
        <v xml:space="preserve">  </v>
      </c>
      <c r="E1555" s="42" t="str">
        <f>IFERROR(AVERAGE(Data!E1557), "  ")</f>
        <v xml:space="preserve">  </v>
      </c>
      <c r="F1555" s="42" t="str">
        <f>IFERROR(AVERAGE(Data!F1557), "  ")</f>
        <v xml:space="preserve">  </v>
      </c>
      <c r="G1555" s="42" t="str">
        <f>IFERROR(AVERAGE(Data!G1557), "  ")</f>
        <v xml:space="preserve">  </v>
      </c>
      <c r="H1555" s="44" t="str">
        <f>IFERROR(AVERAGE(Data!H1557), "  ")</f>
        <v xml:space="preserve">  </v>
      </c>
      <c r="I1555" s="44" t="str">
        <f>IFERROR(AVERAGE(Data!I1557), "  ")</f>
        <v xml:space="preserve">  </v>
      </c>
      <c r="J1555" s="42" t="str">
        <f>IFERROR(AVERAGE(Data!J1557), "  ")</f>
        <v xml:space="preserve">  </v>
      </c>
      <c r="K1555" s="44" t="str">
        <f>IFERROR(AVERAGE(Data!K1557), "  ")</f>
        <v xml:space="preserve">  </v>
      </c>
      <c r="L1555" s="45" t="str">
        <f>IFERROR(AVERAGE(Data!L1557), "  ")</f>
        <v xml:space="preserve">  </v>
      </c>
    </row>
    <row r="1556" spans="1:12" x14ac:dyDescent="0.2">
      <c r="A1556" s="43"/>
      <c r="B1556" s="42" t="str">
        <f>IFERROR(AVERAGE(Data!B1558), "  ")</f>
        <v xml:space="preserve">  </v>
      </c>
      <c r="C1556" s="42" t="str">
        <f>IFERROR(AVERAGE(Data!C1558), "  ")</f>
        <v xml:space="preserve">  </v>
      </c>
      <c r="D1556" s="42" t="str">
        <f>IFERROR(AVERAGE(Data!D1558), "  ")</f>
        <v xml:space="preserve">  </v>
      </c>
      <c r="E1556" s="42" t="str">
        <f>IFERROR(AVERAGE(Data!E1558), "  ")</f>
        <v xml:space="preserve">  </v>
      </c>
      <c r="F1556" s="42" t="str">
        <f>IFERROR(AVERAGE(Data!F1558), "  ")</f>
        <v xml:space="preserve">  </v>
      </c>
      <c r="G1556" s="42" t="str">
        <f>IFERROR(AVERAGE(Data!G1558), "  ")</f>
        <v xml:space="preserve">  </v>
      </c>
      <c r="H1556" s="44" t="str">
        <f>IFERROR(AVERAGE(Data!H1558), "  ")</f>
        <v xml:space="preserve">  </v>
      </c>
      <c r="I1556" s="44" t="str">
        <f>IFERROR(AVERAGE(Data!I1558), "  ")</f>
        <v xml:space="preserve">  </v>
      </c>
      <c r="J1556" s="42" t="str">
        <f>IFERROR(AVERAGE(Data!J1558), "  ")</f>
        <v xml:space="preserve">  </v>
      </c>
      <c r="K1556" s="44" t="str">
        <f>IFERROR(AVERAGE(Data!K1558), "  ")</f>
        <v xml:space="preserve">  </v>
      </c>
      <c r="L1556" s="45" t="str">
        <f>IFERROR(AVERAGE(Data!L1558), "  ")</f>
        <v xml:space="preserve">  </v>
      </c>
    </row>
    <row r="1557" spans="1:12" x14ac:dyDescent="0.2">
      <c r="A1557" s="43"/>
      <c r="B1557" s="42" t="str">
        <f>IFERROR(AVERAGE(Data!B1559), "  ")</f>
        <v xml:space="preserve">  </v>
      </c>
      <c r="C1557" s="42" t="str">
        <f>IFERROR(AVERAGE(Data!C1559), "  ")</f>
        <v xml:space="preserve">  </v>
      </c>
      <c r="D1557" s="42" t="str">
        <f>IFERROR(AVERAGE(Data!D1559), "  ")</f>
        <v xml:space="preserve">  </v>
      </c>
      <c r="E1557" s="42" t="str">
        <f>IFERROR(AVERAGE(Data!E1559), "  ")</f>
        <v xml:space="preserve">  </v>
      </c>
      <c r="F1557" s="42" t="str">
        <f>IFERROR(AVERAGE(Data!F1559), "  ")</f>
        <v xml:space="preserve">  </v>
      </c>
      <c r="G1557" s="42" t="str">
        <f>IFERROR(AVERAGE(Data!G1559), "  ")</f>
        <v xml:space="preserve">  </v>
      </c>
      <c r="H1557" s="44" t="str">
        <f>IFERROR(AVERAGE(Data!H1559), "  ")</f>
        <v xml:space="preserve">  </v>
      </c>
      <c r="I1557" s="44" t="str">
        <f>IFERROR(AVERAGE(Data!I1559), "  ")</f>
        <v xml:space="preserve">  </v>
      </c>
      <c r="J1557" s="42" t="str">
        <f>IFERROR(AVERAGE(Data!J1559), "  ")</f>
        <v xml:space="preserve">  </v>
      </c>
      <c r="K1557" s="44" t="str">
        <f>IFERROR(AVERAGE(Data!K1559), "  ")</f>
        <v xml:space="preserve">  </v>
      </c>
      <c r="L1557" s="45" t="str">
        <f>IFERROR(AVERAGE(Data!L1559), "  ")</f>
        <v xml:space="preserve">  </v>
      </c>
    </row>
    <row r="1558" spans="1:12" x14ac:dyDescent="0.2">
      <c r="A1558" s="43"/>
      <c r="B1558" s="42" t="str">
        <f>IFERROR(AVERAGE(Data!B1560), "  ")</f>
        <v xml:space="preserve">  </v>
      </c>
      <c r="C1558" s="42" t="str">
        <f>IFERROR(AVERAGE(Data!C1560), "  ")</f>
        <v xml:space="preserve">  </v>
      </c>
      <c r="D1558" s="42" t="str">
        <f>IFERROR(AVERAGE(Data!D1560), "  ")</f>
        <v xml:space="preserve">  </v>
      </c>
      <c r="E1558" s="42" t="str">
        <f>IFERROR(AVERAGE(Data!E1560), "  ")</f>
        <v xml:space="preserve">  </v>
      </c>
      <c r="F1558" s="42" t="str">
        <f>IFERROR(AVERAGE(Data!F1560), "  ")</f>
        <v xml:space="preserve">  </v>
      </c>
      <c r="G1558" s="42" t="str">
        <f>IFERROR(AVERAGE(Data!G1560), "  ")</f>
        <v xml:space="preserve">  </v>
      </c>
      <c r="H1558" s="44" t="str">
        <f>IFERROR(AVERAGE(Data!H1560), "  ")</f>
        <v xml:space="preserve">  </v>
      </c>
      <c r="I1558" s="44" t="str">
        <f>IFERROR(AVERAGE(Data!I1560), "  ")</f>
        <v xml:space="preserve">  </v>
      </c>
      <c r="J1558" s="42" t="str">
        <f>IFERROR(AVERAGE(Data!J1560), "  ")</f>
        <v xml:space="preserve">  </v>
      </c>
      <c r="K1558" s="44" t="str">
        <f>IFERROR(AVERAGE(Data!K1560), "  ")</f>
        <v xml:space="preserve">  </v>
      </c>
      <c r="L1558" s="45" t="str">
        <f>IFERROR(AVERAGE(Data!L1560), "  ")</f>
        <v xml:space="preserve">  </v>
      </c>
    </row>
    <row r="1559" spans="1:12" x14ac:dyDescent="0.2">
      <c r="A1559" s="43"/>
      <c r="B1559" s="42" t="str">
        <f>IFERROR(AVERAGE(Data!B1561), "  ")</f>
        <v xml:space="preserve">  </v>
      </c>
      <c r="C1559" s="42" t="str">
        <f>IFERROR(AVERAGE(Data!C1561), "  ")</f>
        <v xml:space="preserve">  </v>
      </c>
      <c r="D1559" s="42" t="str">
        <f>IFERROR(AVERAGE(Data!D1561), "  ")</f>
        <v xml:space="preserve">  </v>
      </c>
      <c r="E1559" s="42" t="str">
        <f>IFERROR(AVERAGE(Data!E1561), "  ")</f>
        <v xml:space="preserve">  </v>
      </c>
      <c r="F1559" s="42" t="str">
        <f>IFERROR(AVERAGE(Data!F1561), "  ")</f>
        <v xml:space="preserve">  </v>
      </c>
      <c r="G1559" s="42" t="str">
        <f>IFERROR(AVERAGE(Data!G1561), "  ")</f>
        <v xml:space="preserve">  </v>
      </c>
      <c r="H1559" s="44" t="str">
        <f>IFERROR(AVERAGE(Data!H1561), "  ")</f>
        <v xml:space="preserve">  </v>
      </c>
      <c r="I1559" s="44" t="str">
        <f>IFERROR(AVERAGE(Data!I1561), "  ")</f>
        <v xml:space="preserve">  </v>
      </c>
      <c r="J1559" s="42" t="str">
        <f>IFERROR(AVERAGE(Data!J1561), "  ")</f>
        <v xml:space="preserve">  </v>
      </c>
      <c r="K1559" s="44" t="str">
        <f>IFERROR(AVERAGE(Data!K1561), "  ")</f>
        <v xml:space="preserve">  </v>
      </c>
      <c r="L1559" s="45" t="str">
        <f>IFERROR(AVERAGE(Data!L1561), "  ")</f>
        <v xml:space="preserve">  </v>
      </c>
    </row>
    <row r="1560" spans="1:12" x14ac:dyDescent="0.2">
      <c r="A1560" s="43"/>
      <c r="B1560" s="42" t="str">
        <f>IFERROR(AVERAGE(Data!B1562), "  ")</f>
        <v xml:space="preserve">  </v>
      </c>
      <c r="C1560" s="42" t="str">
        <f>IFERROR(AVERAGE(Data!C1562), "  ")</f>
        <v xml:space="preserve">  </v>
      </c>
      <c r="D1560" s="42" t="str">
        <f>IFERROR(AVERAGE(Data!D1562), "  ")</f>
        <v xml:space="preserve">  </v>
      </c>
      <c r="E1560" s="42" t="str">
        <f>IFERROR(AVERAGE(Data!E1562), "  ")</f>
        <v xml:space="preserve">  </v>
      </c>
      <c r="F1560" s="42" t="str">
        <f>IFERROR(AVERAGE(Data!F1562), "  ")</f>
        <v xml:space="preserve">  </v>
      </c>
      <c r="G1560" s="42" t="str">
        <f>IFERROR(AVERAGE(Data!G1562), "  ")</f>
        <v xml:space="preserve">  </v>
      </c>
      <c r="H1560" s="44" t="str">
        <f>IFERROR(AVERAGE(Data!H1562), "  ")</f>
        <v xml:space="preserve">  </v>
      </c>
      <c r="I1560" s="44" t="str">
        <f>IFERROR(AVERAGE(Data!I1562), "  ")</f>
        <v xml:space="preserve">  </v>
      </c>
      <c r="J1560" s="42" t="str">
        <f>IFERROR(AVERAGE(Data!J1562), "  ")</f>
        <v xml:space="preserve">  </v>
      </c>
      <c r="K1560" s="44" t="str">
        <f>IFERROR(AVERAGE(Data!K1562), "  ")</f>
        <v xml:space="preserve">  </v>
      </c>
      <c r="L1560" s="45" t="str">
        <f>IFERROR(AVERAGE(Data!L1562), "  ")</f>
        <v xml:space="preserve">  </v>
      </c>
    </row>
    <row r="1561" spans="1:12" x14ac:dyDescent="0.2">
      <c r="A1561" s="43"/>
      <c r="B1561" s="42" t="str">
        <f>IFERROR(AVERAGE(Data!B1563), "  ")</f>
        <v xml:space="preserve">  </v>
      </c>
      <c r="C1561" s="42" t="str">
        <f>IFERROR(AVERAGE(Data!C1563), "  ")</f>
        <v xml:space="preserve">  </v>
      </c>
      <c r="D1561" s="42" t="str">
        <f>IFERROR(AVERAGE(Data!D1563), "  ")</f>
        <v xml:space="preserve">  </v>
      </c>
      <c r="E1561" s="42" t="str">
        <f>IFERROR(AVERAGE(Data!E1563), "  ")</f>
        <v xml:space="preserve">  </v>
      </c>
      <c r="F1561" s="42" t="str">
        <f>IFERROR(AVERAGE(Data!F1563), "  ")</f>
        <v xml:space="preserve">  </v>
      </c>
      <c r="G1561" s="42" t="str">
        <f>IFERROR(AVERAGE(Data!G1563), "  ")</f>
        <v xml:space="preserve">  </v>
      </c>
      <c r="H1561" s="44" t="str">
        <f>IFERROR(AVERAGE(Data!H1563), "  ")</f>
        <v xml:space="preserve">  </v>
      </c>
      <c r="I1561" s="44" t="str">
        <f>IFERROR(AVERAGE(Data!I1563), "  ")</f>
        <v xml:space="preserve">  </v>
      </c>
      <c r="J1561" s="42" t="str">
        <f>IFERROR(AVERAGE(Data!J1563), "  ")</f>
        <v xml:space="preserve">  </v>
      </c>
      <c r="K1561" s="44" t="str">
        <f>IFERROR(AVERAGE(Data!K1563), "  ")</f>
        <v xml:space="preserve">  </v>
      </c>
      <c r="L1561" s="45" t="str">
        <f>IFERROR(AVERAGE(Data!L1563), "  ")</f>
        <v xml:space="preserve">  </v>
      </c>
    </row>
    <row r="1562" spans="1:12" x14ac:dyDescent="0.2">
      <c r="A1562" s="43"/>
      <c r="B1562" s="42" t="str">
        <f>IFERROR(AVERAGE(Data!B1564), "  ")</f>
        <v xml:space="preserve">  </v>
      </c>
      <c r="C1562" s="42" t="str">
        <f>IFERROR(AVERAGE(Data!C1564), "  ")</f>
        <v xml:space="preserve">  </v>
      </c>
      <c r="D1562" s="42" t="str">
        <f>IFERROR(AVERAGE(Data!D1564), "  ")</f>
        <v xml:space="preserve">  </v>
      </c>
      <c r="E1562" s="42" t="str">
        <f>IFERROR(AVERAGE(Data!E1564), "  ")</f>
        <v xml:space="preserve">  </v>
      </c>
      <c r="F1562" s="42" t="str">
        <f>IFERROR(AVERAGE(Data!F1564), "  ")</f>
        <v xml:space="preserve">  </v>
      </c>
      <c r="G1562" s="42" t="str">
        <f>IFERROR(AVERAGE(Data!G1564), "  ")</f>
        <v xml:space="preserve">  </v>
      </c>
      <c r="H1562" s="44" t="str">
        <f>IFERROR(AVERAGE(Data!H1564), "  ")</f>
        <v xml:space="preserve">  </v>
      </c>
      <c r="I1562" s="44" t="str">
        <f>IFERROR(AVERAGE(Data!I1564), "  ")</f>
        <v xml:space="preserve">  </v>
      </c>
      <c r="J1562" s="42" t="str">
        <f>IFERROR(AVERAGE(Data!J1564), "  ")</f>
        <v xml:space="preserve">  </v>
      </c>
      <c r="K1562" s="44" t="str">
        <f>IFERROR(AVERAGE(Data!K1564), "  ")</f>
        <v xml:space="preserve">  </v>
      </c>
      <c r="L1562" s="45" t="str">
        <f>IFERROR(AVERAGE(Data!L1564), "  ")</f>
        <v xml:space="preserve">  </v>
      </c>
    </row>
    <row r="1563" spans="1:12" x14ac:dyDescent="0.2">
      <c r="A1563" s="43"/>
      <c r="B1563" s="42" t="str">
        <f>IFERROR(AVERAGE(Data!B1565), "  ")</f>
        <v xml:space="preserve">  </v>
      </c>
      <c r="C1563" s="42" t="str">
        <f>IFERROR(AVERAGE(Data!C1565), "  ")</f>
        <v xml:space="preserve">  </v>
      </c>
      <c r="D1563" s="42" t="str">
        <f>IFERROR(AVERAGE(Data!D1565), "  ")</f>
        <v xml:space="preserve">  </v>
      </c>
      <c r="E1563" s="42" t="str">
        <f>IFERROR(AVERAGE(Data!E1565), "  ")</f>
        <v xml:space="preserve">  </v>
      </c>
      <c r="F1563" s="42" t="str">
        <f>IFERROR(AVERAGE(Data!F1565), "  ")</f>
        <v xml:space="preserve">  </v>
      </c>
      <c r="G1563" s="42" t="str">
        <f>IFERROR(AVERAGE(Data!G1565), "  ")</f>
        <v xml:space="preserve">  </v>
      </c>
      <c r="H1563" s="44" t="str">
        <f>IFERROR(AVERAGE(Data!H1565), "  ")</f>
        <v xml:space="preserve">  </v>
      </c>
      <c r="I1563" s="44" t="str">
        <f>IFERROR(AVERAGE(Data!I1565), "  ")</f>
        <v xml:space="preserve">  </v>
      </c>
      <c r="J1563" s="42" t="str">
        <f>IFERROR(AVERAGE(Data!J1565), "  ")</f>
        <v xml:space="preserve">  </v>
      </c>
      <c r="K1563" s="44" t="str">
        <f>IFERROR(AVERAGE(Data!K1565), "  ")</f>
        <v xml:space="preserve">  </v>
      </c>
      <c r="L1563" s="45" t="str">
        <f>IFERROR(AVERAGE(Data!L1565), "  ")</f>
        <v xml:space="preserve">  </v>
      </c>
    </row>
    <row r="1564" spans="1:12" x14ac:dyDescent="0.2">
      <c r="A1564" s="43"/>
      <c r="B1564" s="42" t="str">
        <f>IFERROR(AVERAGE(Data!B1566), "  ")</f>
        <v xml:space="preserve">  </v>
      </c>
      <c r="C1564" s="42" t="str">
        <f>IFERROR(AVERAGE(Data!C1566), "  ")</f>
        <v xml:space="preserve">  </v>
      </c>
      <c r="D1564" s="42" t="str">
        <f>IFERROR(AVERAGE(Data!D1566), "  ")</f>
        <v xml:space="preserve">  </v>
      </c>
      <c r="E1564" s="42" t="str">
        <f>IFERROR(AVERAGE(Data!E1566), "  ")</f>
        <v xml:space="preserve">  </v>
      </c>
      <c r="F1564" s="42" t="str">
        <f>IFERROR(AVERAGE(Data!F1566), "  ")</f>
        <v xml:space="preserve">  </v>
      </c>
      <c r="G1564" s="42" t="str">
        <f>IFERROR(AVERAGE(Data!G1566), "  ")</f>
        <v xml:space="preserve">  </v>
      </c>
      <c r="H1564" s="44" t="str">
        <f>IFERROR(AVERAGE(Data!H1566), "  ")</f>
        <v xml:space="preserve">  </v>
      </c>
      <c r="I1564" s="44" t="str">
        <f>IFERROR(AVERAGE(Data!I1566), "  ")</f>
        <v xml:space="preserve">  </v>
      </c>
      <c r="J1564" s="42" t="str">
        <f>IFERROR(AVERAGE(Data!J1566), "  ")</f>
        <v xml:space="preserve">  </v>
      </c>
      <c r="K1564" s="44" t="str">
        <f>IFERROR(AVERAGE(Data!K1566), "  ")</f>
        <v xml:space="preserve">  </v>
      </c>
      <c r="L1564" s="45" t="str">
        <f>IFERROR(AVERAGE(Data!L1566), "  ")</f>
        <v xml:space="preserve">  </v>
      </c>
    </row>
    <row r="1565" spans="1:12" x14ac:dyDescent="0.2">
      <c r="A1565" s="43"/>
      <c r="B1565" s="42" t="str">
        <f>IFERROR(AVERAGE(Data!B1567), "  ")</f>
        <v xml:space="preserve">  </v>
      </c>
      <c r="C1565" s="42" t="str">
        <f>IFERROR(AVERAGE(Data!C1567), "  ")</f>
        <v xml:space="preserve">  </v>
      </c>
      <c r="D1565" s="42" t="str">
        <f>IFERROR(AVERAGE(Data!D1567), "  ")</f>
        <v xml:space="preserve">  </v>
      </c>
      <c r="E1565" s="42" t="str">
        <f>IFERROR(AVERAGE(Data!E1567), "  ")</f>
        <v xml:space="preserve">  </v>
      </c>
      <c r="F1565" s="42" t="str">
        <f>IFERROR(AVERAGE(Data!F1567), "  ")</f>
        <v xml:space="preserve">  </v>
      </c>
      <c r="G1565" s="42" t="str">
        <f>IFERROR(AVERAGE(Data!G1567), "  ")</f>
        <v xml:space="preserve">  </v>
      </c>
      <c r="H1565" s="44" t="str">
        <f>IFERROR(AVERAGE(Data!H1567), "  ")</f>
        <v xml:space="preserve">  </v>
      </c>
      <c r="I1565" s="44" t="str">
        <f>IFERROR(AVERAGE(Data!I1567), "  ")</f>
        <v xml:space="preserve">  </v>
      </c>
      <c r="J1565" s="42" t="str">
        <f>IFERROR(AVERAGE(Data!J1567), "  ")</f>
        <v xml:space="preserve">  </v>
      </c>
      <c r="K1565" s="44" t="str">
        <f>IFERROR(AVERAGE(Data!K1567), "  ")</f>
        <v xml:space="preserve">  </v>
      </c>
      <c r="L1565" s="45" t="str">
        <f>IFERROR(AVERAGE(Data!L1567), "  ")</f>
        <v xml:space="preserve">  </v>
      </c>
    </row>
    <row r="1566" spans="1:12" x14ac:dyDescent="0.2">
      <c r="A1566" s="43"/>
      <c r="B1566" s="42" t="str">
        <f>IFERROR(AVERAGE(Data!B1568), "  ")</f>
        <v xml:space="preserve">  </v>
      </c>
      <c r="C1566" s="42" t="str">
        <f>IFERROR(AVERAGE(Data!C1568), "  ")</f>
        <v xml:space="preserve">  </v>
      </c>
      <c r="D1566" s="42" t="str">
        <f>IFERROR(AVERAGE(Data!D1568), "  ")</f>
        <v xml:space="preserve">  </v>
      </c>
      <c r="E1566" s="42" t="str">
        <f>IFERROR(AVERAGE(Data!E1568), "  ")</f>
        <v xml:space="preserve">  </v>
      </c>
      <c r="F1566" s="42" t="str">
        <f>IFERROR(AVERAGE(Data!F1568), "  ")</f>
        <v xml:space="preserve">  </v>
      </c>
      <c r="G1566" s="42" t="str">
        <f>IFERROR(AVERAGE(Data!G1568), "  ")</f>
        <v xml:space="preserve">  </v>
      </c>
      <c r="H1566" s="44" t="str">
        <f>IFERROR(AVERAGE(Data!H1568), "  ")</f>
        <v xml:space="preserve">  </v>
      </c>
      <c r="I1566" s="44" t="str">
        <f>IFERROR(AVERAGE(Data!I1568), "  ")</f>
        <v xml:space="preserve">  </v>
      </c>
      <c r="J1566" s="42" t="str">
        <f>IFERROR(AVERAGE(Data!J1568), "  ")</f>
        <v xml:space="preserve">  </v>
      </c>
      <c r="K1566" s="44" t="str">
        <f>IFERROR(AVERAGE(Data!K1568), "  ")</f>
        <v xml:space="preserve">  </v>
      </c>
      <c r="L1566" s="45" t="str">
        <f>IFERROR(AVERAGE(Data!L1568), "  ")</f>
        <v xml:space="preserve">  </v>
      </c>
    </row>
    <row r="1567" spans="1:12" x14ac:dyDescent="0.2">
      <c r="A1567" s="43"/>
      <c r="B1567" s="42" t="str">
        <f>IFERROR(AVERAGE(Data!B1569), "  ")</f>
        <v xml:space="preserve">  </v>
      </c>
      <c r="C1567" s="42" t="str">
        <f>IFERROR(AVERAGE(Data!C1569), "  ")</f>
        <v xml:space="preserve">  </v>
      </c>
      <c r="D1567" s="42" t="str">
        <f>IFERROR(AVERAGE(Data!D1569), "  ")</f>
        <v xml:space="preserve">  </v>
      </c>
      <c r="E1567" s="42" t="str">
        <f>IFERROR(AVERAGE(Data!E1569), "  ")</f>
        <v xml:space="preserve">  </v>
      </c>
      <c r="F1567" s="42" t="str">
        <f>IFERROR(AVERAGE(Data!F1569), "  ")</f>
        <v xml:space="preserve">  </v>
      </c>
      <c r="G1567" s="42" t="str">
        <f>IFERROR(AVERAGE(Data!G1569), "  ")</f>
        <v xml:space="preserve">  </v>
      </c>
      <c r="H1567" s="44" t="str">
        <f>IFERROR(AVERAGE(Data!H1569), "  ")</f>
        <v xml:space="preserve">  </v>
      </c>
      <c r="I1567" s="44" t="str">
        <f>IFERROR(AVERAGE(Data!I1569), "  ")</f>
        <v xml:space="preserve">  </v>
      </c>
      <c r="J1567" s="42" t="str">
        <f>IFERROR(AVERAGE(Data!J1569), "  ")</f>
        <v xml:space="preserve">  </v>
      </c>
      <c r="K1567" s="44" t="str">
        <f>IFERROR(AVERAGE(Data!K1569), "  ")</f>
        <v xml:space="preserve">  </v>
      </c>
      <c r="L1567" s="45" t="str">
        <f>IFERROR(AVERAGE(Data!L1569), "  ")</f>
        <v xml:space="preserve">  </v>
      </c>
    </row>
    <row r="1568" spans="1:12" x14ac:dyDescent="0.2">
      <c r="A1568" s="43"/>
      <c r="B1568" s="42" t="str">
        <f>IFERROR(AVERAGE(Data!B1570), "  ")</f>
        <v xml:space="preserve">  </v>
      </c>
      <c r="C1568" s="42" t="str">
        <f>IFERROR(AVERAGE(Data!C1570), "  ")</f>
        <v xml:space="preserve">  </v>
      </c>
      <c r="D1568" s="42" t="str">
        <f>IFERROR(AVERAGE(Data!D1570), "  ")</f>
        <v xml:space="preserve">  </v>
      </c>
      <c r="E1568" s="42" t="str">
        <f>IFERROR(AVERAGE(Data!E1570), "  ")</f>
        <v xml:space="preserve">  </v>
      </c>
      <c r="F1568" s="42" t="str">
        <f>IFERROR(AVERAGE(Data!F1570), "  ")</f>
        <v xml:space="preserve">  </v>
      </c>
      <c r="G1568" s="42" t="str">
        <f>IFERROR(AVERAGE(Data!G1570), "  ")</f>
        <v xml:space="preserve">  </v>
      </c>
      <c r="H1568" s="44" t="str">
        <f>IFERROR(AVERAGE(Data!H1570), "  ")</f>
        <v xml:space="preserve">  </v>
      </c>
      <c r="I1568" s="44" t="str">
        <f>IFERROR(AVERAGE(Data!I1570), "  ")</f>
        <v xml:space="preserve">  </v>
      </c>
      <c r="J1568" s="42" t="str">
        <f>IFERROR(AVERAGE(Data!J1570), "  ")</f>
        <v xml:space="preserve">  </v>
      </c>
      <c r="K1568" s="44" t="str">
        <f>IFERROR(AVERAGE(Data!K1570), "  ")</f>
        <v xml:space="preserve">  </v>
      </c>
      <c r="L1568" s="45" t="str">
        <f>IFERROR(AVERAGE(Data!L1570), "  ")</f>
        <v xml:space="preserve">  </v>
      </c>
    </row>
    <row r="1569" spans="1:12" x14ac:dyDescent="0.2">
      <c r="A1569" s="43"/>
      <c r="B1569" s="42" t="str">
        <f>IFERROR(AVERAGE(Data!B1571), "  ")</f>
        <v xml:space="preserve">  </v>
      </c>
      <c r="C1569" s="42" t="str">
        <f>IFERROR(AVERAGE(Data!C1571), "  ")</f>
        <v xml:space="preserve">  </v>
      </c>
      <c r="D1569" s="42" t="str">
        <f>IFERROR(AVERAGE(Data!D1571), "  ")</f>
        <v xml:space="preserve">  </v>
      </c>
      <c r="E1569" s="42" t="str">
        <f>IFERROR(AVERAGE(Data!E1571), "  ")</f>
        <v xml:space="preserve">  </v>
      </c>
      <c r="F1569" s="42" t="str">
        <f>IFERROR(AVERAGE(Data!F1571), "  ")</f>
        <v xml:space="preserve">  </v>
      </c>
      <c r="G1569" s="42" t="str">
        <f>IFERROR(AVERAGE(Data!G1571), "  ")</f>
        <v xml:space="preserve">  </v>
      </c>
      <c r="H1569" s="44" t="str">
        <f>IFERROR(AVERAGE(Data!H1571), "  ")</f>
        <v xml:space="preserve">  </v>
      </c>
      <c r="I1569" s="44" t="str">
        <f>IFERROR(AVERAGE(Data!I1571), "  ")</f>
        <v xml:space="preserve">  </v>
      </c>
      <c r="J1569" s="42" t="str">
        <f>IFERROR(AVERAGE(Data!J1571), "  ")</f>
        <v xml:space="preserve">  </v>
      </c>
      <c r="K1569" s="44" t="str">
        <f>IFERROR(AVERAGE(Data!K1571), "  ")</f>
        <v xml:space="preserve">  </v>
      </c>
      <c r="L1569" s="45" t="str">
        <f>IFERROR(AVERAGE(Data!L1571), "  ")</f>
        <v xml:space="preserve">  </v>
      </c>
    </row>
    <row r="1570" spans="1:12" x14ac:dyDescent="0.2">
      <c r="A1570" s="43"/>
      <c r="B1570" s="42" t="str">
        <f>IFERROR(AVERAGE(Data!B1572), "  ")</f>
        <v xml:space="preserve">  </v>
      </c>
      <c r="C1570" s="42" t="str">
        <f>IFERROR(AVERAGE(Data!C1572), "  ")</f>
        <v xml:space="preserve">  </v>
      </c>
      <c r="D1570" s="42" t="str">
        <f>IFERROR(AVERAGE(Data!D1572), "  ")</f>
        <v xml:space="preserve">  </v>
      </c>
      <c r="E1570" s="42" t="str">
        <f>IFERROR(AVERAGE(Data!E1572), "  ")</f>
        <v xml:space="preserve">  </v>
      </c>
      <c r="F1570" s="42" t="str">
        <f>IFERROR(AVERAGE(Data!F1572), "  ")</f>
        <v xml:space="preserve">  </v>
      </c>
      <c r="G1570" s="42" t="str">
        <f>IFERROR(AVERAGE(Data!G1572), "  ")</f>
        <v xml:space="preserve">  </v>
      </c>
      <c r="H1570" s="44" t="str">
        <f>IFERROR(AVERAGE(Data!H1572), "  ")</f>
        <v xml:space="preserve">  </v>
      </c>
      <c r="I1570" s="44" t="str">
        <f>IFERROR(AVERAGE(Data!I1572), "  ")</f>
        <v xml:space="preserve">  </v>
      </c>
      <c r="J1570" s="42" t="str">
        <f>IFERROR(AVERAGE(Data!J1572), "  ")</f>
        <v xml:space="preserve">  </v>
      </c>
      <c r="K1570" s="44" t="str">
        <f>IFERROR(AVERAGE(Data!K1572), "  ")</f>
        <v xml:space="preserve">  </v>
      </c>
      <c r="L1570" s="45" t="str">
        <f>IFERROR(AVERAGE(Data!L1572), "  ")</f>
        <v xml:space="preserve">  </v>
      </c>
    </row>
    <row r="1571" spans="1:12" x14ac:dyDescent="0.2">
      <c r="A1571" s="43"/>
      <c r="B1571" s="42" t="str">
        <f>IFERROR(AVERAGE(Data!B1573), "  ")</f>
        <v xml:space="preserve">  </v>
      </c>
      <c r="C1571" s="42" t="str">
        <f>IFERROR(AVERAGE(Data!C1573), "  ")</f>
        <v xml:space="preserve">  </v>
      </c>
      <c r="D1571" s="42" t="str">
        <f>IFERROR(AVERAGE(Data!D1573), "  ")</f>
        <v xml:space="preserve">  </v>
      </c>
      <c r="E1571" s="42" t="str">
        <f>IFERROR(AVERAGE(Data!E1573), "  ")</f>
        <v xml:space="preserve">  </v>
      </c>
      <c r="F1571" s="42" t="str">
        <f>IFERROR(AVERAGE(Data!F1573), "  ")</f>
        <v xml:space="preserve">  </v>
      </c>
      <c r="G1571" s="42" t="str">
        <f>IFERROR(AVERAGE(Data!G1573), "  ")</f>
        <v xml:space="preserve">  </v>
      </c>
      <c r="H1571" s="44" t="str">
        <f>IFERROR(AVERAGE(Data!H1573), "  ")</f>
        <v xml:space="preserve">  </v>
      </c>
      <c r="I1571" s="44" t="str">
        <f>IFERROR(AVERAGE(Data!I1573), "  ")</f>
        <v xml:space="preserve">  </v>
      </c>
      <c r="J1571" s="42" t="str">
        <f>IFERROR(AVERAGE(Data!J1573), "  ")</f>
        <v xml:space="preserve">  </v>
      </c>
      <c r="K1571" s="44" t="str">
        <f>IFERROR(AVERAGE(Data!K1573), "  ")</f>
        <v xml:space="preserve">  </v>
      </c>
      <c r="L1571" s="45" t="str">
        <f>IFERROR(AVERAGE(Data!L1573), "  ")</f>
        <v xml:space="preserve">  </v>
      </c>
    </row>
    <row r="1572" spans="1:12" x14ac:dyDescent="0.2">
      <c r="A1572" s="43"/>
      <c r="B1572" s="42" t="str">
        <f>IFERROR(AVERAGE(Data!B1574), "  ")</f>
        <v xml:space="preserve">  </v>
      </c>
      <c r="C1572" s="42" t="str">
        <f>IFERROR(AVERAGE(Data!C1574), "  ")</f>
        <v xml:space="preserve">  </v>
      </c>
      <c r="D1572" s="42" t="str">
        <f>IFERROR(AVERAGE(Data!D1574), "  ")</f>
        <v xml:space="preserve">  </v>
      </c>
      <c r="E1572" s="42" t="str">
        <f>IFERROR(AVERAGE(Data!E1574), "  ")</f>
        <v xml:space="preserve">  </v>
      </c>
      <c r="F1572" s="42" t="str">
        <f>IFERROR(AVERAGE(Data!F1574), "  ")</f>
        <v xml:space="preserve">  </v>
      </c>
      <c r="G1572" s="42" t="str">
        <f>IFERROR(AVERAGE(Data!G1574), "  ")</f>
        <v xml:space="preserve">  </v>
      </c>
      <c r="H1572" s="44" t="str">
        <f>IFERROR(AVERAGE(Data!H1574), "  ")</f>
        <v xml:space="preserve">  </v>
      </c>
      <c r="I1572" s="44" t="str">
        <f>IFERROR(AVERAGE(Data!I1574), "  ")</f>
        <v xml:space="preserve">  </v>
      </c>
      <c r="J1572" s="42" t="str">
        <f>IFERROR(AVERAGE(Data!J1574), "  ")</f>
        <v xml:space="preserve">  </v>
      </c>
      <c r="K1572" s="44" t="str">
        <f>IFERROR(AVERAGE(Data!K1574), "  ")</f>
        <v xml:space="preserve">  </v>
      </c>
      <c r="L1572" s="45" t="str">
        <f>IFERROR(AVERAGE(Data!L1574), "  ")</f>
        <v xml:space="preserve">  </v>
      </c>
    </row>
    <row r="1573" spans="1:12" x14ac:dyDescent="0.2">
      <c r="A1573" s="43"/>
      <c r="B1573" s="42" t="str">
        <f>IFERROR(AVERAGE(Data!B1575), "  ")</f>
        <v xml:space="preserve">  </v>
      </c>
      <c r="C1573" s="42" t="str">
        <f>IFERROR(AVERAGE(Data!C1575), "  ")</f>
        <v xml:space="preserve">  </v>
      </c>
      <c r="D1573" s="42" t="str">
        <f>IFERROR(AVERAGE(Data!D1575), "  ")</f>
        <v xml:space="preserve">  </v>
      </c>
      <c r="E1573" s="42" t="str">
        <f>IFERROR(AVERAGE(Data!E1575), "  ")</f>
        <v xml:space="preserve">  </v>
      </c>
      <c r="F1573" s="42" t="str">
        <f>IFERROR(AVERAGE(Data!F1575), "  ")</f>
        <v xml:space="preserve">  </v>
      </c>
      <c r="G1573" s="42" t="str">
        <f>IFERROR(AVERAGE(Data!G1575), "  ")</f>
        <v xml:space="preserve">  </v>
      </c>
      <c r="H1573" s="44" t="str">
        <f>IFERROR(AVERAGE(Data!H1575), "  ")</f>
        <v xml:space="preserve">  </v>
      </c>
      <c r="I1573" s="44" t="str">
        <f>IFERROR(AVERAGE(Data!I1575), "  ")</f>
        <v xml:space="preserve">  </v>
      </c>
      <c r="J1573" s="42" t="str">
        <f>IFERROR(AVERAGE(Data!J1575), "  ")</f>
        <v xml:space="preserve">  </v>
      </c>
      <c r="K1573" s="44" t="str">
        <f>IFERROR(AVERAGE(Data!K1575), "  ")</f>
        <v xml:space="preserve">  </v>
      </c>
      <c r="L1573" s="45" t="str">
        <f>IFERROR(AVERAGE(Data!L1575), "  ")</f>
        <v xml:space="preserve">  </v>
      </c>
    </row>
    <row r="1574" spans="1:12" x14ac:dyDescent="0.2">
      <c r="A1574" s="43"/>
      <c r="B1574" s="42" t="str">
        <f>IFERROR(AVERAGE(Data!B1576), "  ")</f>
        <v xml:space="preserve">  </v>
      </c>
      <c r="C1574" s="42" t="str">
        <f>IFERROR(AVERAGE(Data!C1576), "  ")</f>
        <v xml:space="preserve">  </v>
      </c>
      <c r="D1574" s="42" t="str">
        <f>IFERROR(AVERAGE(Data!D1576), "  ")</f>
        <v xml:space="preserve">  </v>
      </c>
      <c r="E1574" s="42" t="str">
        <f>IFERROR(AVERAGE(Data!E1576), "  ")</f>
        <v xml:space="preserve">  </v>
      </c>
      <c r="F1574" s="42" t="str">
        <f>IFERROR(AVERAGE(Data!F1576), "  ")</f>
        <v xml:space="preserve">  </v>
      </c>
      <c r="G1574" s="42" t="str">
        <f>IFERROR(AVERAGE(Data!G1576), "  ")</f>
        <v xml:space="preserve">  </v>
      </c>
      <c r="H1574" s="44" t="str">
        <f>IFERROR(AVERAGE(Data!H1576), "  ")</f>
        <v xml:space="preserve">  </v>
      </c>
      <c r="I1574" s="44" t="str">
        <f>IFERROR(AVERAGE(Data!I1576), "  ")</f>
        <v xml:space="preserve">  </v>
      </c>
      <c r="J1574" s="42" t="str">
        <f>IFERROR(AVERAGE(Data!J1576), "  ")</f>
        <v xml:space="preserve">  </v>
      </c>
      <c r="K1574" s="44" t="str">
        <f>IFERROR(AVERAGE(Data!K1576), "  ")</f>
        <v xml:space="preserve">  </v>
      </c>
      <c r="L1574" s="45" t="str">
        <f>IFERROR(AVERAGE(Data!L1576), "  ")</f>
        <v xml:space="preserve">  </v>
      </c>
    </row>
    <row r="1575" spans="1:12" x14ac:dyDescent="0.2">
      <c r="A1575" s="43"/>
      <c r="B1575" s="42" t="str">
        <f>IFERROR(AVERAGE(Data!B1577), "  ")</f>
        <v xml:space="preserve">  </v>
      </c>
      <c r="C1575" s="42" t="str">
        <f>IFERROR(AVERAGE(Data!C1577), "  ")</f>
        <v xml:space="preserve">  </v>
      </c>
      <c r="D1575" s="42" t="str">
        <f>IFERROR(AVERAGE(Data!D1577), "  ")</f>
        <v xml:space="preserve">  </v>
      </c>
      <c r="E1575" s="42" t="str">
        <f>IFERROR(AVERAGE(Data!E1577), "  ")</f>
        <v xml:space="preserve">  </v>
      </c>
      <c r="F1575" s="42" t="str">
        <f>IFERROR(AVERAGE(Data!F1577), "  ")</f>
        <v xml:space="preserve">  </v>
      </c>
      <c r="G1575" s="42" t="str">
        <f>IFERROR(AVERAGE(Data!G1577), "  ")</f>
        <v xml:space="preserve">  </v>
      </c>
      <c r="H1575" s="44" t="str">
        <f>IFERROR(AVERAGE(Data!H1577), "  ")</f>
        <v xml:space="preserve">  </v>
      </c>
      <c r="I1575" s="44" t="str">
        <f>IFERROR(AVERAGE(Data!I1577), "  ")</f>
        <v xml:space="preserve">  </v>
      </c>
      <c r="J1575" s="42" t="str">
        <f>IFERROR(AVERAGE(Data!J1577), "  ")</f>
        <v xml:space="preserve">  </v>
      </c>
      <c r="K1575" s="44" t="str">
        <f>IFERROR(AVERAGE(Data!K1577), "  ")</f>
        <v xml:space="preserve">  </v>
      </c>
      <c r="L1575" s="45" t="str">
        <f>IFERROR(AVERAGE(Data!L1577), "  ")</f>
        <v xml:space="preserve">  </v>
      </c>
    </row>
    <row r="1576" spans="1:12" x14ac:dyDescent="0.2">
      <c r="A1576" s="43"/>
      <c r="B1576" s="42" t="str">
        <f>IFERROR(AVERAGE(Data!B1578), "  ")</f>
        <v xml:space="preserve">  </v>
      </c>
      <c r="C1576" s="42" t="str">
        <f>IFERROR(AVERAGE(Data!C1578), "  ")</f>
        <v xml:space="preserve">  </v>
      </c>
      <c r="D1576" s="42" t="str">
        <f>IFERROR(AVERAGE(Data!D1578), "  ")</f>
        <v xml:space="preserve">  </v>
      </c>
      <c r="E1576" s="42" t="str">
        <f>IFERROR(AVERAGE(Data!E1578), "  ")</f>
        <v xml:space="preserve">  </v>
      </c>
      <c r="F1576" s="42" t="str">
        <f>IFERROR(AVERAGE(Data!F1578), "  ")</f>
        <v xml:space="preserve">  </v>
      </c>
      <c r="G1576" s="42" t="str">
        <f>IFERROR(AVERAGE(Data!G1578), "  ")</f>
        <v xml:space="preserve">  </v>
      </c>
      <c r="H1576" s="44" t="str">
        <f>IFERROR(AVERAGE(Data!H1578), "  ")</f>
        <v xml:space="preserve">  </v>
      </c>
      <c r="I1576" s="44" t="str">
        <f>IFERROR(AVERAGE(Data!I1578), "  ")</f>
        <v xml:space="preserve">  </v>
      </c>
      <c r="J1576" s="42" t="str">
        <f>IFERROR(AVERAGE(Data!J1578), "  ")</f>
        <v xml:space="preserve">  </v>
      </c>
      <c r="K1576" s="44" t="str">
        <f>IFERROR(AVERAGE(Data!K1578), "  ")</f>
        <v xml:space="preserve">  </v>
      </c>
      <c r="L1576" s="45" t="str">
        <f>IFERROR(AVERAGE(Data!L1578), "  ")</f>
        <v xml:space="preserve">  </v>
      </c>
    </row>
    <row r="1577" spans="1:12" x14ac:dyDescent="0.2">
      <c r="A1577" s="43"/>
      <c r="B1577" s="42" t="str">
        <f>IFERROR(AVERAGE(Data!B1579), "  ")</f>
        <v xml:space="preserve">  </v>
      </c>
      <c r="C1577" s="42" t="str">
        <f>IFERROR(AVERAGE(Data!C1579), "  ")</f>
        <v xml:space="preserve">  </v>
      </c>
      <c r="D1577" s="42" t="str">
        <f>IFERROR(AVERAGE(Data!D1579), "  ")</f>
        <v xml:space="preserve">  </v>
      </c>
      <c r="E1577" s="42" t="str">
        <f>IFERROR(AVERAGE(Data!E1579), "  ")</f>
        <v xml:space="preserve">  </v>
      </c>
      <c r="F1577" s="42" t="str">
        <f>IFERROR(AVERAGE(Data!F1579), "  ")</f>
        <v xml:space="preserve">  </v>
      </c>
      <c r="G1577" s="42" t="str">
        <f>IFERROR(AVERAGE(Data!G1579), "  ")</f>
        <v xml:space="preserve">  </v>
      </c>
      <c r="H1577" s="44" t="str">
        <f>IFERROR(AVERAGE(Data!H1579), "  ")</f>
        <v xml:space="preserve">  </v>
      </c>
      <c r="I1577" s="44" t="str">
        <f>IFERROR(AVERAGE(Data!I1579), "  ")</f>
        <v xml:space="preserve">  </v>
      </c>
      <c r="J1577" s="42" t="str">
        <f>IFERROR(AVERAGE(Data!J1579), "  ")</f>
        <v xml:space="preserve">  </v>
      </c>
      <c r="K1577" s="44" t="str">
        <f>IFERROR(AVERAGE(Data!K1579), "  ")</f>
        <v xml:space="preserve">  </v>
      </c>
      <c r="L1577" s="45" t="str">
        <f>IFERROR(AVERAGE(Data!L1579), "  ")</f>
        <v xml:space="preserve">  </v>
      </c>
    </row>
    <row r="1578" spans="1:12" x14ac:dyDescent="0.2">
      <c r="A1578" s="43"/>
      <c r="B1578" s="42" t="str">
        <f>IFERROR(AVERAGE(Data!B1580), "  ")</f>
        <v xml:space="preserve">  </v>
      </c>
      <c r="C1578" s="42" t="str">
        <f>IFERROR(AVERAGE(Data!C1580), "  ")</f>
        <v xml:space="preserve">  </v>
      </c>
      <c r="D1578" s="42" t="str">
        <f>IFERROR(AVERAGE(Data!D1580), "  ")</f>
        <v xml:space="preserve">  </v>
      </c>
      <c r="E1578" s="42" t="str">
        <f>IFERROR(AVERAGE(Data!E1580), "  ")</f>
        <v xml:space="preserve">  </v>
      </c>
      <c r="F1578" s="42" t="str">
        <f>IFERROR(AVERAGE(Data!F1580), "  ")</f>
        <v xml:space="preserve">  </v>
      </c>
      <c r="G1578" s="42" t="str">
        <f>IFERROR(AVERAGE(Data!G1580), "  ")</f>
        <v xml:space="preserve">  </v>
      </c>
      <c r="H1578" s="44" t="str">
        <f>IFERROR(AVERAGE(Data!H1580), "  ")</f>
        <v xml:space="preserve">  </v>
      </c>
      <c r="I1578" s="44" t="str">
        <f>IFERROR(AVERAGE(Data!I1580), "  ")</f>
        <v xml:space="preserve">  </v>
      </c>
      <c r="J1578" s="42" t="str">
        <f>IFERROR(AVERAGE(Data!J1580), "  ")</f>
        <v xml:space="preserve">  </v>
      </c>
      <c r="K1578" s="44" t="str">
        <f>IFERROR(AVERAGE(Data!K1580), "  ")</f>
        <v xml:space="preserve">  </v>
      </c>
      <c r="L1578" s="45" t="str">
        <f>IFERROR(AVERAGE(Data!L1580), "  ")</f>
        <v xml:space="preserve">  </v>
      </c>
    </row>
    <row r="1579" spans="1:12" x14ac:dyDescent="0.2">
      <c r="A1579" s="43"/>
      <c r="B1579" s="42" t="str">
        <f>IFERROR(AVERAGE(Data!B1581), "  ")</f>
        <v xml:space="preserve">  </v>
      </c>
      <c r="C1579" s="42" t="str">
        <f>IFERROR(AVERAGE(Data!C1581), "  ")</f>
        <v xml:space="preserve">  </v>
      </c>
      <c r="D1579" s="42" t="str">
        <f>IFERROR(AVERAGE(Data!D1581), "  ")</f>
        <v xml:space="preserve">  </v>
      </c>
      <c r="E1579" s="42" t="str">
        <f>IFERROR(AVERAGE(Data!E1581), "  ")</f>
        <v xml:space="preserve">  </v>
      </c>
      <c r="F1579" s="42" t="str">
        <f>IFERROR(AVERAGE(Data!F1581), "  ")</f>
        <v xml:space="preserve">  </v>
      </c>
      <c r="G1579" s="42" t="str">
        <f>IFERROR(AVERAGE(Data!G1581), "  ")</f>
        <v xml:space="preserve">  </v>
      </c>
      <c r="H1579" s="44" t="str">
        <f>IFERROR(AVERAGE(Data!H1581), "  ")</f>
        <v xml:space="preserve">  </v>
      </c>
      <c r="I1579" s="44" t="str">
        <f>IFERROR(AVERAGE(Data!I1581), "  ")</f>
        <v xml:space="preserve">  </v>
      </c>
      <c r="J1579" s="42" t="str">
        <f>IFERROR(AVERAGE(Data!J1581), "  ")</f>
        <v xml:space="preserve">  </v>
      </c>
      <c r="K1579" s="44" t="str">
        <f>IFERROR(AVERAGE(Data!K1581), "  ")</f>
        <v xml:space="preserve">  </v>
      </c>
      <c r="L1579" s="45" t="str">
        <f>IFERROR(AVERAGE(Data!L1581), "  ")</f>
        <v xml:space="preserve">  </v>
      </c>
    </row>
    <row r="1580" spans="1:12" x14ac:dyDescent="0.2">
      <c r="A1580" s="43"/>
      <c r="B1580" s="42" t="str">
        <f>IFERROR(AVERAGE(Data!B1582), "  ")</f>
        <v xml:space="preserve">  </v>
      </c>
      <c r="C1580" s="42" t="str">
        <f>IFERROR(AVERAGE(Data!C1582), "  ")</f>
        <v xml:space="preserve">  </v>
      </c>
      <c r="D1580" s="42" t="str">
        <f>IFERROR(AVERAGE(Data!D1582), "  ")</f>
        <v xml:space="preserve">  </v>
      </c>
      <c r="E1580" s="42" t="str">
        <f>IFERROR(AVERAGE(Data!E1582), "  ")</f>
        <v xml:space="preserve">  </v>
      </c>
      <c r="F1580" s="42" t="str">
        <f>IFERROR(AVERAGE(Data!F1582), "  ")</f>
        <v xml:space="preserve">  </v>
      </c>
      <c r="G1580" s="42" t="str">
        <f>IFERROR(AVERAGE(Data!G1582), "  ")</f>
        <v xml:space="preserve">  </v>
      </c>
      <c r="H1580" s="44" t="str">
        <f>IFERROR(AVERAGE(Data!H1582), "  ")</f>
        <v xml:space="preserve">  </v>
      </c>
      <c r="I1580" s="44" t="str">
        <f>IFERROR(AVERAGE(Data!I1582), "  ")</f>
        <v xml:space="preserve">  </v>
      </c>
      <c r="J1580" s="42" t="str">
        <f>IFERROR(AVERAGE(Data!J1582), "  ")</f>
        <v xml:space="preserve">  </v>
      </c>
      <c r="K1580" s="44" t="str">
        <f>IFERROR(AVERAGE(Data!K1582), "  ")</f>
        <v xml:space="preserve">  </v>
      </c>
      <c r="L1580" s="45" t="str">
        <f>IFERROR(AVERAGE(Data!L1582), "  ")</f>
        <v xml:space="preserve">  </v>
      </c>
    </row>
    <row r="1581" spans="1:12" x14ac:dyDescent="0.2">
      <c r="A1581" s="43"/>
      <c r="B1581" s="42" t="str">
        <f>IFERROR(AVERAGE(Data!B1583), "  ")</f>
        <v xml:space="preserve">  </v>
      </c>
      <c r="C1581" s="42" t="str">
        <f>IFERROR(AVERAGE(Data!C1583), "  ")</f>
        <v xml:space="preserve">  </v>
      </c>
      <c r="D1581" s="42" t="str">
        <f>IFERROR(AVERAGE(Data!D1583), "  ")</f>
        <v xml:space="preserve">  </v>
      </c>
      <c r="E1581" s="42" t="str">
        <f>IFERROR(AVERAGE(Data!E1583), "  ")</f>
        <v xml:space="preserve">  </v>
      </c>
      <c r="F1581" s="42" t="str">
        <f>IFERROR(AVERAGE(Data!F1583), "  ")</f>
        <v xml:space="preserve">  </v>
      </c>
      <c r="G1581" s="42" t="str">
        <f>IFERROR(AVERAGE(Data!G1583), "  ")</f>
        <v xml:space="preserve">  </v>
      </c>
      <c r="H1581" s="44" t="str">
        <f>IFERROR(AVERAGE(Data!H1583), "  ")</f>
        <v xml:space="preserve">  </v>
      </c>
      <c r="I1581" s="44" t="str">
        <f>IFERROR(AVERAGE(Data!I1583), "  ")</f>
        <v xml:space="preserve">  </v>
      </c>
      <c r="J1581" s="42" t="str">
        <f>IFERROR(AVERAGE(Data!J1583), "  ")</f>
        <v xml:space="preserve">  </v>
      </c>
      <c r="K1581" s="44" t="str">
        <f>IFERROR(AVERAGE(Data!K1583), "  ")</f>
        <v xml:space="preserve">  </v>
      </c>
      <c r="L1581" s="45" t="str">
        <f>IFERROR(AVERAGE(Data!L1583), "  ")</f>
        <v xml:space="preserve">  </v>
      </c>
    </row>
    <row r="1582" spans="1:12" x14ac:dyDescent="0.2">
      <c r="A1582" s="43"/>
      <c r="B1582" s="42" t="str">
        <f>IFERROR(AVERAGE(Data!B1584), "  ")</f>
        <v xml:space="preserve">  </v>
      </c>
      <c r="C1582" s="42" t="str">
        <f>IFERROR(AVERAGE(Data!C1584), "  ")</f>
        <v xml:space="preserve">  </v>
      </c>
      <c r="D1582" s="42" t="str">
        <f>IFERROR(AVERAGE(Data!D1584), "  ")</f>
        <v xml:space="preserve">  </v>
      </c>
      <c r="E1582" s="42" t="str">
        <f>IFERROR(AVERAGE(Data!E1584), "  ")</f>
        <v xml:space="preserve">  </v>
      </c>
      <c r="F1582" s="42" t="str">
        <f>IFERROR(AVERAGE(Data!F1584), "  ")</f>
        <v xml:space="preserve">  </v>
      </c>
      <c r="G1582" s="42" t="str">
        <f>IFERROR(AVERAGE(Data!G1584), "  ")</f>
        <v xml:space="preserve">  </v>
      </c>
      <c r="H1582" s="44" t="str">
        <f>IFERROR(AVERAGE(Data!H1584), "  ")</f>
        <v xml:space="preserve">  </v>
      </c>
      <c r="I1582" s="44" t="str">
        <f>IFERROR(AVERAGE(Data!I1584), "  ")</f>
        <v xml:space="preserve">  </v>
      </c>
      <c r="J1582" s="42" t="str">
        <f>IFERROR(AVERAGE(Data!J1584), "  ")</f>
        <v xml:space="preserve">  </v>
      </c>
      <c r="K1582" s="44" t="str">
        <f>IFERROR(AVERAGE(Data!K1584), "  ")</f>
        <v xml:space="preserve">  </v>
      </c>
      <c r="L1582" s="45" t="str">
        <f>IFERROR(AVERAGE(Data!L1584), "  ")</f>
        <v xml:space="preserve">  </v>
      </c>
    </row>
    <row r="1583" spans="1:12" x14ac:dyDescent="0.2">
      <c r="A1583" s="43"/>
      <c r="B1583" s="42" t="str">
        <f>IFERROR(AVERAGE(Data!B1585), "  ")</f>
        <v xml:space="preserve">  </v>
      </c>
      <c r="C1583" s="42" t="str">
        <f>IFERROR(AVERAGE(Data!C1585), "  ")</f>
        <v xml:space="preserve">  </v>
      </c>
      <c r="D1583" s="42" t="str">
        <f>IFERROR(AVERAGE(Data!D1585), "  ")</f>
        <v xml:space="preserve">  </v>
      </c>
      <c r="E1583" s="42" t="str">
        <f>IFERROR(AVERAGE(Data!E1585), "  ")</f>
        <v xml:space="preserve">  </v>
      </c>
      <c r="F1583" s="42" t="str">
        <f>IFERROR(AVERAGE(Data!F1585), "  ")</f>
        <v xml:space="preserve">  </v>
      </c>
      <c r="G1583" s="42" t="str">
        <f>IFERROR(AVERAGE(Data!G1585), "  ")</f>
        <v xml:space="preserve">  </v>
      </c>
      <c r="H1583" s="44" t="str">
        <f>IFERROR(AVERAGE(Data!H1585), "  ")</f>
        <v xml:space="preserve">  </v>
      </c>
      <c r="I1583" s="44" t="str">
        <f>IFERROR(AVERAGE(Data!I1585), "  ")</f>
        <v xml:space="preserve">  </v>
      </c>
      <c r="J1583" s="42" t="str">
        <f>IFERROR(AVERAGE(Data!J1585), "  ")</f>
        <v xml:space="preserve">  </v>
      </c>
      <c r="K1583" s="44" t="str">
        <f>IFERROR(AVERAGE(Data!K1585), "  ")</f>
        <v xml:space="preserve">  </v>
      </c>
      <c r="L1583" s="45" t="str">
        <f>IFERROR(AVERAGE(Data!L1585), "  ")</f>
        <v xml:space="preserve">  </v>
      </c>
    </row>
    <row r="1584" spans="1:12" x14ac:dyDescent="0.2">
      <c r="A1584" s="43"/>
      <c r="B1584" s="42" t="str">
        <f>IFERROR(AVERAGE(Data!B1586), "  ")</f>
        <v xml:space="preserve">  </v>
      </c>
      <c r="C1584" s="42" t="str">
        <f>IFERROR(AVERAGE(Data!C1586), "  ")</f>
        <v xml:space="preserve">  </v>
      </c>
      <c r="D1584" s="42" t="str">
        <f>IFERROR(AVERAGE(Data!D1586), "  ")</f>
        <v xml:space="preserve">  </v>
      </c>
      <c r="E1584" s="42" t="str">
        <f>IFERROR(AVERAGE(Data!E1586), "  ")</f>
        <v xml:space="preserve">  </v>
      </c>
      <c r="F1584" s="42" t="str">
        <f>IFERROR(AVERAGE(Data!F1586), "  ")</f>
        <v xml:space="preserve">  </v>
      </c>
      <c r="G1584" s="42" t="str">
        <f>IFERROR(AVERAGE(Data!G1586), "  ")</f>
        <v xml:space="preserve">  </v>
      </c>
      <c r="H1584" s="44" t="str">
        <f>IFERROR(AVERAGE(Data!H1586), "  ")</f>
        <v xml:space="preserve">  </v>
      </c>
      <c r="I1584" s="44" t="str">
        <f>IFERROR(AVERAGE(Data!I1586), "  ")</f>
        <v xml:space="preserve">  </v>
      </c>
      <c r="J1584" s="42" t="str">
        <f>IFERROR(AVERAGE(Data!J1586), "  ")</f>
        <v xml:space="preserve">  </v>
      </c>
      <c r="K1584" s="44" t="str">
        <f>IFERROR(AVERAGE(Data!K1586), "  ")</f>
        <v xml:space="preserve">  </v>
      </c>
      <c r="L1584" s="45" t="str">
        <f>IFERROR(AVERAGE(Data!L1586), "  ")</f>
        <v xml:space="preserve">  </v>
      </c>
    </row>
    <row r="1585" spans="1:12" x14ac:dyDescent="0.2">
      <c r="A1585" s="43"/>
      <c r="B1585" s="42" t="str">
        <f>IFERROR(AVERAGE(Data!B1587), "  ")</f>
        <v xml:space="preserve">  </v>
      </c>
      <c r="C1585" s="42" t="str">
        <f>IFERROR(AVERAGE(Data!C1587), "  ")</f>
        <v xml:space="preserve">  </v>
      </c>
      <c r="D1585" s="42" t="str">
        <f>IFERROR(AVERAGE(Data!D1587), "  ")</f>
        <v xml:space="preserve">  </v>
      </c>
      <c r="E1585" s="42" t="str">
        <f>IFERROR(AVERAGE(Data!E1587), "  ")</f>
        <v xml:space="preserve">  </v>
      </c>
      <c r="F1585" s="42" t="str">
        <f>IFERROR(AVERAGE(Data!F1587), "  ")</f>
        <v xml:space="preserve">  </v>
      </c>
      <c r="G1585" s="42" t="str">
        <f>IFERROR(AVERAGE(Data!G1587), "  ")</f>
        <v xml:space="preserve">  </v>
      </c>
      <c r="H1585" s="44" t="str">
        <f>IFERROR(AVERAGE(Data!H1587), "  ")</f>
        <v xml:space="preserve">  </v>
      </c>
      <c r="I1585" s="44" t="str">
        <f>IFERROR(AVERAGE(Data!I1587), "  ")</f>
        <v xml:space="preserve">  </v>
      </c>
      <c r="J1585" s="42" t="str">
        <f>IFERROR(AVERAGE(Data!J1587), "  ")</f>
        <v xml:space="preserve">  </v>
      </c>
      <c r="K1585" s="44" t="str">
        <f>IFERROR(AVERAGE(Data!K1587), "  ")</f>
        <v xml:space="preserve">  </v>
      </c>
      <c r="L1585" s="45" t="str">
        <f>IFERROR(AVERAGE(Data!L1587), "  ")</f>
        <v xml:space="preserve">  </v>
      </c>
    </row>
    <row r="1586" spans="1:12" x14ac:dyDescent="0.2">
      <c r="A1586" s="43"/>
      <c r="B1586" s="42" t="str">
        <f>IFERROR(AVERAGE(Data!B1588), "  ")</f>
        <v xml:space="preserve">  </v>
      </c>
      <c r="C1586" s="42" t="str">
        <f>IFERROR(AVERAGE(Data!C1588), "  ")</f>
        <v xml:space="preserve">  </v>
      </c>
      <c r="D1586" s="42" t="str">
        <f>IFERROR(AVERAGE(Data!D1588), "  ")</f>
        <v xml:space="preserve">  </v>
      </c>
      <c r="E1586" s="42" t="str">
        <f>IFERROR(AVERAGE(Data!E1588), "  ")</f>
        <v xml:space="preserve">  </v>
      </c>
      <c r="F1586" s="42" t="str">
        <f>IFERROR(AVERAGE(Data!F1588), "  ")</f>
        <v xml:space="preserve">  </v>
      </c>
      <c r="G1586" s="42" t="str">
        <f>IFERROR(AVERAGE(Data!G1588), "  ")</f>
        <v xml:space="preserve">  </v>
      </c>
      <c r="H1586" s="44" t="str">
        <f>IFERROR(AVERAGE(Data!H1588), "  ")</f>
        <v xml:space="preserve">  </v>
      </c>
      <c r="I1586" s="44" t="str">
        <f>IFERROR(AVERAGE(Data!I1588), "  ")</f>
        <v xml:space="preserve">  </v>
      </c>
      <c r="J1586" s="42" t="str">
        <f>IFERROR(AVERAGE(Data!J1588), "  ")</f>
        <v xml:space="preserve">  </v>
      </c>
      <c r="K1586" s="44" t="str">
        <f>IFERROR(AVERAGE(Data!K1588), "  ")</f>
        <v xml:space="preserve">  </v>
      </c>
      <c r="L1586" s="45" t="str">
        <f>IFERROR(AVERAGE(Data!L1588), "  ")</f>
        <v xml:space="preserve">  </v>
      </c>
    </row>
    <row r="1587" spans="1:12" x14ac:dyDescent="0.2">
      <c r="A1587" s="43"/>
      <c r="B1587" s="42" t="str">
        <f>IFERROR(AVERAGE(Data!B1589), "  ")</f>
        <v xml:space="preserve">  </v>
      </c>
      <c r="C1587" s="42" t="str">
        <f>IFERROR(AVERAGE(Data!C1589), "  ")</f>
        <v xml:space="preserve">  </v>
      </c>
      <c r="D1587" s="42" t="str">
        <f>IFERROR(AVERAGE(Data!D1589), "  ")</f>
        <v xml:space="preserve">  </v>
      </c>
      <c r="E1587" s="42" t="str">
        <f>IFERROR(AVERAGE(Data!E1589), "  ")</f>
        <v xml:space="preserve">  </v>
      </c>
      <c r="F1587" s="42" t="str">
        <f>IFERROR(AVERAGE(Data!F1589), "  ")</f>
        <v xml:space="preserve">  </v>
      </c>
      <c r="G1587" s="42" t="str">
        <f>IFERROR(AVERAGE(Data!G1589), "  ")</f>
        <v xml:space="preserve">  </v>
      </c>
      <c r="H1587" s="44" t="str">
        <f>IFERROR(AVERAGE(Data!H1589), "  ")</f>
        <v xml:space="preserve">  </v>
      </c>
      <c r="I1587" s="44" t="str">
        <f>IFERROR(AVERAGE(Data!I1589), "  ")</f>
        <v xml:space="preserve">  </v>
      </c>
      <c r="J1587" s="42" t="str">
        <f>IFERROR(AVERAGE(Data!J1589), "  ")</f>
        <v xml:space="preserve">  </v>
      </c>
      <c r="K1587" s="44" t="str">
        <f>IFERROR(AVERAGE(Data!K1589), "  ")</f>
        <v xml:space="preserve">  </v>
      </c>
      <c r="L1587" s="45" t="str">
        <f>IFERROR(AVERAGE(Data!L1589), "  ")</f>
        <v xml:space="preserve">  </v>
      </c>
    </row>
    <row r="1588" spans="1:12" x14ac:dyDescent="0.2">
      <c r="A1588" s="43"/>
      <c r="B1588" s="42" t="str">
        <f>IFERROR(AVERAGE(Data!B1590), "  ")</f>
        <v xml:space="preserve">  </v>
      </c>
      <c r="C1588" s="42" t="str">
        <f>IFERROR(AVERAGE(Data!C1590), "  ")</f>
        <v xml:space="preserve">  </v>
      </c>
      <c r="D1588" s="42" t="str">
        <f>IFERROR(AVERAGE(Data!D1590), "  ")</f>
        <v xml:space="preserve">  </v>
      </c>
      <c r="E1588" s="42" t="str">
        <f>IFERROR(AVERAGE(Data!E1590), "  ")</f>
        <v xml:space="preserve">  </v>
      </c>
      <c r="F1588" s="42" t="str">
        <f>IFERROR(AVERAGE(Data!F1590), "  ")</f>
        <v xml:space="preserve">  </v>
      </c>
      <c r="G1588" s="42" t="str">
        <f>IFERROR(AVERAGE(Data!G1590), "  ")</f>
        <v xml:space="preserve">  </v>
      </c>
      <c r="H1588" s="44" t="str">
        <f>IFERROR(AVERAGE(Data!H1590), "  ")</f>
        <v xml:space="preserve">  </v>
      </c>
      <c r="I1588" s="44" t="str">
        <f>IFERROR(AVERAGE(Data!I1590), "  ")</f>
        <v xml:space="preserve">  </v>
      </c>
      <c r="J1588" s="42" t="str">
        <f>IFERROR(AVERAGE(Data!J1590), "  ")</f>
        <v xml:space="preserve">  </v>
      </c>
      <c r="K1588" s="44" t="str">
        <f>IFERROR(AVERAGE(Data!K1590), "  ")</f>
        <v xml:space="preserve">  </v>
      </c>
      <c r="L1588" s="45" t="str">
        <f>IFERROR(AVERAGE(Data!L1590), "  ")</f>
        <v xml:space="preserve">  </v>
      </c>
    </row>
    <row r="1589" spans="1:12" x14ac:dyDescent="0.2">
      <c r="A1589" s="43"/>
      <c r="B1589" s="42" t="str">
        <f>IFERROR(AVERAGE(Data!B1591), "  ")</f>
        <v xml:space="preserve">  </v>
      </c>
      <c r="C1589" s="42" t="str">
        <f>IFERROR(AVERAGE(Data!C1591), "  ")</f>
        <v xml:space="preserve">  </v>
      </c>
      <c r="D1589" s="42" t="str">
        <f>IFERROR(AVERAGE(Data!D1591), "  ")</f>
        <v xml:space="preserve">  </v>
      </c>
      <c r="E1589" s="42" t="str">
        <f>IFERROR(AVERAGE(Data!E1591), "  ")</f>
        <v xml:space="preserve">  </v>
      </c>
      <c r="F1589" s="42" t="str">
        <f>IFERROR(AVERAGE(Data!F1591), "  ")</f>
        <v xml:space="preserve">  </v>
      </c>
      <c r="G1589" s="42" t="str">
        <f>IFERROR(AVERAGE(Data!G1591), "  ")</f>
        <v xml:space="preserve">  </v>
      </c>
      <c r="H1589" s="44" t="str">
        <f>IFERROR(AVERAGE(Data!H1591), "  ")</f>
        <v xml:space="preserve">  </v>
      </c>
      <c r="I1589" s="44" t="str">
        <f>IFERROR(AVERAGE(Data!I1591), "  ")</f>
        <v xml:space="preserve">  </v>
      </c>
      <c r="J1589" s="42" t="str">
        <f>IFERROR(AVERAGE(Data!J1591), "  ")</f>
        <v xml:space="preserve">  </v>
      </c>
      <c r="K1589" s="44" t="str">
        <f>IFERROR(AVERAGE(Data!K1591), "  ")</f>
        <v xml:space="preserve">  </v>
      </c>
      <c r="L1589" s="45" t="str">
        <f>IFERROR(AVERAGE(Data!L1591), "  ")</f>
        <v xml:space="preserve">  </v>
      </c>
    </row>
    <row r="1590" spans="1:12" x14ac:dyDescent="0.2">
      <c r="A1590" s="43"/>
      <c r="B1590" s="42" t="str">
        <f>IFERROR(AVERAGE(Data!B1592), "  ")</f>
        <v xml:space="preserve">  </v>
      </c>
      <c r="C1590" s="42" t="str">
        <f>IFERROR(AVERAGE(Data!C1592), "  ")</f>
        <v xml:space="preserve">  </v>
      </c>
      <c r="D1590" s="42" t="str">
        <f>IFERROR(AVERAGE(Data!D1592), "  ")</f>
        <v xml:space="preserve">  </v>
      </c>
      <c r="E1590" s="42" t="str">
        <f>IFERROR(AVERAGE(Data!E1592), "  ")</f>
        <v xml:space="preserve">  </v>
      </c>
      <c r="F1590" s="42" t="str">
        <f>IFERROR(AVERAGE(Data!F1592), "  ")</f>
        <v xml:space="preserve">  </v>
      </c>
      <c r="G1590" s="42" t="str">
        <f>IFERROR(AVERAGE(Data!G1592), "  ")</f>
        <v xml:space="preserve">  </v>
      </c>
      <c r="H1590" s="44" t="str">
        <f>IFERROR(AVERAGE(Data!H1592), "  ")</f>
        <v xml:space="preserve">  </v>
      </c>
      <c r="I1590" s="44" t="str">
        <f>IFERROR(AVERAGE(Data!I1592), "  ")</f>
        <v xml:space="preserve">  </v>
      </c>
      <c r="J1590" s="42" t="str">
        <f>IFERROR(AVERAGE(Data!J1592), "  ")</f>
        <v xml:space="preserve">  </v>
      </c>
      <c r="K1590" s="44" t="str">
        <f>IFERROR(AVERAGE(Data!K1592), "  ")</f>
        <v xml:space="preserve">  </v>
      </c>
      <c r="L1590" s="45" t="str">
        <f>IFERROR(AVERAGE(Data!L1592), "  ")</f>
        <v xml:space="preserve">  </v>
      </c>
    </row>
    <row r="1591" spans="1:12" x14ac:dyDescent="0.2">
      <c r="A1591" s="43"/>
      <c r="B1591" s="42" t="str">
        <f>IFERROR(AVERAGE(Data!B1593), "  ")</f>
        <v xml:space="preserve">  </v>
      </c>
      <c r="C1591" s="42" t="str">
        <f>IFERROR(AVERAGE(Data!C1593), "  ")</f>
        <v xml:space="preserve">  </v>
      </c>
      <c r="D1591" s="42" t="str">
        <f>IFERROR(AVERAGE(Data!D1593), "  ")</f>
        <v xml:space="preserve">  </v>
      </c>
      <c r="E1591" s="42" t="str">
        <f>IFERROR(AVERAGE(Data!E1593), "  ")</f>
        <v xml:space="preserve">  </v>
      </c>
      <c r="F1591" s="42" t="str">
        <f>IFERROR(AVERAGE(Data!F1593), "  ")</f>
        <v xml:space="preserve">  </v>
      </c>
      <c r="G1591" s="42" t="str">
        <f>IFERROR(AVERAGE(Data!G1593), "  ")</f>
        <v xml:space="preserve">  </v>
      </c>
      <c r="H1591" s="44" t="str">
        <f>IFERROR(AVERAGE(Data!H1593), "  ")</f>
        <v xml:space="preserve">  </v>
      </c>
      <c r="I1591" s="44" t="str">
        <f>IFERROR(AVERAGE(Data!I1593), "  ")</f>
        <v xml:space="preserve">  </v>
      </c>
      <c r="J1591" s="42" t="str">
        <f>IFERROR(AVERAGE(Data!J1593), "  ")</f>
        <v xml:space="preserve">  </v>
      </c>
      <c r="K1591" s="44" t="str">
        <f>IFERROR(AVERAGE(Data!K1593), "  ")</f>
        <v xml:space="preserve">  </v>
      </c>
      <c r="L1591" s="45" t="str">
        <f>IFERROR(AVERAGE(Data!L1593), "  ")</f>
        <v xml:space="preserve">  </v>
      </c>
    </row>
    <row r="1592" spans="1:12" x14ac:dyDescent="0.2">
      <c r="A1592" s="43"/>
      <c r="B1592" s="42" t="str">
        <f>IFERROR(AVERAGE(Data!B1594), "  ")</f>
        <v xml:space="preserve">  </v>
      </c>
      <c r="C1592" s="42" t="str">
        <f>IFERROR(AVERAGE(Data!C1594), "  ")</f>
        <v xml:space="preserve">  </v>
      </c>
      <c r="D1592" s="42" t="str">
        <f>IFERROR(AVERAGE(Data!D1594), "  ")</f>
        <v xml:space="preserve">  </v>
      </c>
      <c r="E1592" s="42" t="str">
        <f>IFERROR(AVERAGE(Data!E1594), "  ")</f>
        <v xml:space="preserve">  </v>
      </c>
      <c r="F1592" s="42" t="str">
        <f>IFERROR(AVERAGE(Data!F1594), "  ")</f>
        <v xml:space="preserve">  </v>
      </c>
      <c r="G1592" s="42" t="str">
        <f>IFERROR(AVERAGE(Data!G1594), "  ")</f>
        <v xml:space="preserve">  </v>
      </c>
      <c r="H1592" s="44" t="str">
        <f>IFERROR(AVERAGE(Data!H1594), "  ")</f>
        <v xml:space="preserve">  </v>
      </c>
      <c r="I1592" s="44" t="str">
        <f>IFERROR(AVERAGE(Data!I1594), "  ")</f>
        <v xml:space="preserve">  </v>
      </c>
      <c r="J1592" s="42" t="str">
        <f>IFERROR(AVERAGE(Data!J1594), "  ")</f>
        <v xml:space="preserve">  </v>
      </c>
      <c r="K1592" s="44" t="str">
        <f>IFERROR(AVERAGE(Data!K1594), "  ")</f>
        <v xml:space="preserve">  </v>
      </c>
      <c r="L1592" s="45" t="str">
        <f>IFERROR(AVERAGE(Data!L1594), "  ")</f>
        <v xml:space="preserve">  </v>
      </c>
    </row>
    <row r="1593" spans="1:12" x14ac:dyDescent="0.2">
      <c r="A1593" s="43"/>
      <c r="B1593" s="42" t="str">
        <f>IFERROR(AVERAGE(Data!B1595), "  ")</f>
        <v xml:space="preserve">  </v>
      </c>
      <c r="C1593" s="42" t="str">
        <f>IFERROR(AVERAGE(Data!C1595), "  ")</f>
        <v xml:space="preserve">  </v>
      </c>
      <c r="D1593" s="42" t="str">
        <f>IFERROR(AVERAGE(Data!D1595), "  ")</f>
        <v xml:space="preserve">  </v>
      </c>
      <c r="E1593" s="42" t="str">
        <f>IFERROR(AVERAGE(Data!E1595), "  ")</f>
        <v xml:space="preserve">  </v>
      </c>
      <c r="F1593" s="42" t="str">
        <f>IFERROR(AVERAGE(Data!F1595), "  ")</f>
        <v xml:space="preserve">  </v>
      </c>
      <c r="G1593" s="42" t="str">
        <f>IFERROR(AVERAGE(Data!G1595), "  ")</f>
        <v xml:space="preserve">  </v>
      </c>
      <c r="H1593" s="44" t="str">
        <f>IFERROR(AVERAGE(Data!H1595), "  ")</f>
        <v xml:space="preserve">  </v>
      </c>
      <c r="I1593" s="44" t="str">
        <f>IFERROR(AVERAGE(Data!I1595), "  ")</f>
        <v xml:space="preserve">  </v>
      </c>
      <c r="J1593" s="42" t="str">
        <f>IFERROR(AVERAGE(Data!J1595), "  ")</f>
        <v xml:space="preserve">  </v>
      </c>
      <c r="K1593" s="44" t="str">
        <f>IFERROR(AVERAGE(Data!K1595), "  ")</f>
        <v xml:space="preserve">  </v>
      </c>
      <c r="L1593" s="45" t="str">
        <f>IFERROR(AVERAGE(Data!L1595), "  ")</f>
        <v xml:space="preserve">  </v>
      </c>
    </row>
    <row r="1594" spans="1:12" x14ac:dyDescent="0.2">
      <c r="A1594" s="43"/>
      <c r="B1594" s="42" t="str">
        <f>IFERROR(AVERAGE(Data!B1596), "  ")</f>
        <v xml:space="preserve">  </v>
      </c>
      <c r="C1594" s="42" t="str">
        <f>IFERROR(AVERAGE(Data!C1596), "  ")</f>
        <v xml:space="preserve">  </v>
      </c>
      <c r="D1594" s="42" t="str">
        <f>IFERROR(AVERAGE(Data!D1596), "  ")</f>
        <v xml:space="preserve">  </v>
      </c>
      <c r="E1594" s="42" t="str">
        <f>IFERROR(AVERAGE(Data!E1596), "  ")</f>
        <v xml:space="preserve">  </v>
      </c>
      <c r="F1594" s="42" t="str">
        <f>IFERROR(AVERAGE(Data!F1596), "  ")</f>
        <v xml:space="preserve">  </v>
      </c>
      <c r="G1594" s="42" t="str">
        <f>IFERROR(AVERAGE(Data!G1596), "  ")</f>
        <v xml:space="preserve">  </v>
      </c>
      <c r="H1594" s="44" t="str">
        <f>IFERROR(AVERAGE(Data!H1596), "  ")</f>
        <v xml:space="preserve">  </v>
      </c>
      <c r="I1594" s="44" t="str">
        <f>IFERROR(AVERAGE(Data!I1596), "  ")</f>
        <v xml:space="preserve">  </v>
      </c>
      <c r="J1594" s="42" t="str">
        <f>IFERROR(AVERAGE(Data!J1596), "  ")</f>
        <v xml:space="preserve">  </v>
      </c>
      <c r="K1594" s="44" t="str">
        <f>IFERROR(AVERAGE(Data!K1596), "  ")</f>
        <v xml:space="preserve">  </v>
      </c>
      <c r="L1594" s="45" t="str">
        <f>IFERROR(AVERAGE(Data!L1596), "  ")</f>
        <v xml:space="preserve">  </v>
      </c>
    </row>
    <row r="1595" spans="1:12" x14ac:dyDescent="0.2">
      <c r="A1595" s="43"/>
      <c r="B1595" s="42" t="str">
        <f>IFERROR(AVERAGE(Data!B1597), "  ")</f>
        <v xml:space="preserve">  </v>
      </c>
      <c r="C1595" s="42" t="str">
        <f>IFERROR(AVERAGE(Data!C1597), "  ")</f>
        <v xml:space="preserve">  </v>
      </c>
      <c r="D1595" s="42" t="str">
        <f>IFERROR(AVERAGE(Data!D1597), "  ")</f>
        <v xml:space="preserve">  </v>
      </c>
      <c r="E1595" s="42" t="str">
        <f>IFERROR(AVERAGE(Data!E1597), "  ")</f>
        <v xml:space="preserve">  </v>
      </c>
      <c r="F1595" s="42" t="str">
        <f>IFERROR(AVERAGE(Data!F1597), "  ")</f>
        <v xml:space="preserve">  </v>
      </c>
      <c r="G1595" s="42" t="str">
        <f>IFERROR(AVERAGE(Data!G1597), "  ")</f>
        <v xml:space="preserve">  </v>
      </c>
      <c r="H1595" s="44" t="str">
        <f>IFERROR(AVERAGE(Data!H1597), "  ")</f>
        <v xml:space="preserve">  </v>
      </c>
      <c r="I1595" s="44" t="str">
        <f>IFERROR(AVERAGE(Data!I1597), "  ")</f>
        <v xml:space="preserve">  </v>
      </c>
      <c r="J1595" s="42" t="str">
        <f>IFERROR(AVERAGE(Data!J1597), "  ")</f>
        <v xml:space="preserve">  </v>
      </c>
      <c r="K1595" s="44" t="str">
        <f>IFERROR(AVERAGE(Data!K1597), "  ")</f>
        <v xml:space="preserve">  </v>
      </c>
      <c r="L1595" s="45" t="str">
        <f>IFERROR(AVERAGE(Data!L1597), "  ")</f>
        <v xml:space="preserve">  </v>
      </c>
    </row>
    <row r="1596" spans="1:12" x14ac:dyDescent="0.2">
      <c r="A1596" s="43"/>
      <c r="B1596" s="42" t="str">
        <f>IFERROR(AVERAGE(Data!B1598), "  ")</f>
        <v xml:space="preserve">  </v>
      </c>
      <c r="C1596" s="42" t="str">
        <f>IFERROR(AVERAGE(Data!C1598), "  ")</f>
        <v xml:space="preserve">  </v>
      </c>
      <c r="D1596" s="42" t="str">
        <f>IFERROR(AVERAGE(Data!D1598), "  ")</f>
        <v xml:space="preserve">  </v>
      </c>
      <c r="E1596" s="42" t="str">
        <f>IFERROR(AVERAGE(Data!E1598), "  ")</f>
        <v xml:space="preserve">  </v>
      </c>
      <c r="F1596" s="42" t="str">
        <f>IFERROR(AVERAGE(Data!F1598), "  ")</f>
        <v xml:space="preserve">  </v>
      </c>
      <c r="G1596" s="42" t="str">
        <f>IFERROR(AVERAGE(Data!G1598), "  ")</f>
        <v xml:space="preserve">  </v>
      </c>
      <c r="H1596" s="44" t="str">
        <f>IFERROR(AVERAGE(Data!H1598), "  ")</f>
        <v xml:space="preserve">  </v>
      </c>
      <c r="I1596" s="44" t="str">
        <f>IFERROR(AVERAGE(Data!I1598), "  ")</f>
        <v xml:space="preserve">  </v>
      </c>
      <c r="J1596" s="42" t="str">
        <f>IFERROR(AVERAGE(Data!J1598), "  ")</f>
        <v xml:space="preserve">  </v>
      </c>
      <c r="K1596" s="44" t="str">
        <f>IFERROR(AVERAGE(Data!K1598), "  ")</f>
        <v xml:space="preserve">  </v>
      </c>
      <c r="L1596" s="45" t="str">
        <f>IFERROR(AVERAGE(Data!L1598), "  ")</f>
        <v xml:space="preserve">  </v>
      </c>
    </row>
    <row r="1597" spans="1:12" x14ac:dyDescent="0.2">
      <c r="A1597" s="43"/>
      <c r="B1597" s="42" t="str">
        <f>IFERROR(AVERAGE(Data!B1599), "  ")</f>
        <v xml:space="preserve">  </v>
      </c>
      <c r="C1597" s="42" t="str">
        <f>IFERROR(AVERAGE(Data!C1599), "  ")</f>
        <v xml:space="preserve">  </v>
      </c>
      <c r="D1597" s="42" t="str">
        <f>IFERROR(AVERAGE(Data!D1599), "  ")</f>
        <v xml:space="preserve">  </v>
      </c>
      <c r="E1597" s="42" t="str">
        <f>IFERROR(AVERAGE(Data!E1599), "  ")</f>
        <v xml:space="preserve">  </v>
      </c>
      <c r="F1597" s="42" t="str">
        <f>IFERROR(AVERAGE(Data!F1599), "  ")</f>
        <v xml:space="preserve">  </v>
      </c>
      <c r="G1597" s="42" t="str">
        <f>IFERROR(AVERAGE(Data!G1599), "  ")</f>
        <v xml:space="preserve">  </v>
      </c>
      <c r="H1597" s="44" t="str">
        <f>IFERROR(AVERAGE(Data!H1599), "  ")</f>
        <v xml:space="preserve">  </v>
      </c>
      <c r="I1597" s="44" t="str">
        <f>IFERROR(AVERAGE(Data!I1599), "  ")</f>
        <v xml:space="preserve">  </v>
      </c>
      <c r="J1597" s="42" t="str">
        <f>IFERROR(AVERAGE(Data!J1599), "  ")</f>
        <v xml:space="preserve">  </v>
      </c>
      <c r="K1597" s="44" t="str">
        <f>IFERROR(AVERAGE(Data!K1599), "  ")</f>
        <v xml:space="preserve">  </v>
      </c>
      <c r="L1597" s="45" t="str">
        <f>IFERROR(AVERAGE(Data!L1599), "  ")</f>
        <v xml:space="preserve">  </v>
      </c>
    </row>
    <row r="1598" spans="1:12" x14ac:dyDescent="0.2">
      <c r="A1598" s="43"/>
      <c r="B1598" s="42" t="str">
        <f>IFERROR(AVERAGE(Data!B1600), "  ")</f>
        <v xml:space="preserve">  </v>
      </c>
      <c r="C1598" s="42" t="str">
        <f>IFERROR(AVERAGE(Data!C1600), "  ")</f>
        <v xml:space="preserve">  </v>
      </c>
      <c r="D1598" s="42" t="str">
        <f>IFERROR(AVERAGE(Data!D1600), "  ")</f>
        <v xml:space="preserve">  </v>
      </c>
      <c r="E1598" s="42" t="str">
        <f>IFERROR(AVERAGE(Data!E1600), "  ")</f>
        <v xml:space="preserve">  </v>
      </c>
      <c r="F1598" s="42" t="str">
        <f>IFERROR(AVERAGE(Data!F1600), "  ")</f>
        <v xml:space="preserve">  </v>
      </c>
      <c r="G1598" s="42" t="str">
        <f>IFERROR(AVERAGE(Data!G1600), "  ")</f>
        <v xml:space="preserve">  </v>
      </c>
      <c r="H1598" s="44" t="str">
        <f>IFERROR(AVERAGE(Data!H1600), "  ")</f>
        <v xml:space="preserve">  </v>
      </c>
      <c r="I1598" s="44" t="str">
        <f>IFERROR(AVERAGE(Data!I1600), "  ")</f>
        <v xml:space="preserve">  </v>
      </c>
      <c r="J1598" s="42" t="str">
        <f>IFERROR(AVERAGE(Data!J1600), "  ")</f>
        <v xml:space="preserve">  </v>
      </c>
      <c r="K1598" s="44" t="str">
        <f>IFERROR(AVERAGE(Data!K1600), "  ")</f>
        <v xml:space="preserve">  </v>
      </c>
      <c r="L1598" s="45" t="str">
        <f>IFERROR(AVERAGE(Data!L1600), "  ")</f>
        <v xml:space="preserve">  </v>
      </c>
    </row>
    <row r="1599" spans="1:12" x14ac:dyDescent="0.2">
      <c r="A1599" s="43"/>
      <c r="B1599" s="42" t="str">
        <f>IFERROR(AVERAGE(Data!B1601), "  ")</f>
        <v xml:space="preserve">  </v>
      </c>
      <c r="C1599" s="42" t="str">
        <f>IFERROR(AVERAGE(Data!C1601), "  ")</f>
        <v xml:space="preserve">  </v>
      </c>
      <c r="D1599" s="42" t="str">
        <f>IFERROR(AVERAGE(Data!D1601), "  ")</f>
        <v xml:space="preserve">  </v>
      </c>
      <c r="E1599" s="42" t="str">
        <f>IFERROR(AVERAGE(Data!E1601), "  ")</f>
        <v xml:space="preserve">  </v>
      </c>
      <c r="F1599" s="42" t="str">
        <f>IFERROR(AVERAGE(Data!F1601), "  ")</f>
        <v xml:space="preserve">  </v>
      </c>
      <c r="G1599" s="42" t="str">
        <f>IFERROR(AVERAGE(Data!G1601), "  ")</f>
        <v xml:space="preserve">  </v>
      </c>
      <c r="H1599" s="44" t="str">
        <f>IFERROR(AVERAGE(Data!H1601), "  ")</f>
        <v xml:space="preserve">  </v>
      </c>
      <c r="I1599" s="44" t="str">
        <f>IFERROR(AVERAGE(Data!I1601), "  ")</f>
        <v xml:space="preserve">  </v>
      </c>
      <c r="J1599" s="42" t="str">
        <f>IFERROR(AVERAGE(Data!J1601), "  ")</f>
        <v xml:space="preserve">  </v>
      </c>
      <c r="K1599" s="44" t="str">
        <f>IFERROR(AVERAGE(Data!K1601), "  ")</f>
        <v xml:space="preserve">  </v>
      </c>
      <c r="L1599" s="45" t="str">
        <f>IFERROR(AVERAGE(Data!L1601), "  ")</f>
        <v xml:space="preserve">  </v>
      </c>
    </row>
    <row r="1600" spans="1:12" x14ac:dyDescent="0.2">
      <c r="A1600" s="43"/>
      <c r="B1600" s="42" t="str">
        <f>IFERROR(AVERAGE(Data!B1602), "  ")</f>
        <v xml:space="preserve">  </v>
      </c>
      <c r="C1600" s="42" t="str">
        <f>IFERROR(AVERAGE(Data!C1602), "  ")</f>
        <v xml:space="preserve">  </v>
      </c>
      <c r="D1600" s="42" t="str">
        <f>IFERROR(AVERAGE(Data!D1602), "  ")</f>
        <v xml:space="preserve">  </v>
      </c>
      <c r="E1600" s="42" t="str">
        <f>IFERROR(AVERAGE(Data!E1602), "  ")</f>
        <v xml:space="preserve">  </v>
      </c>
      <c r="F1600" s="42" t="str">
        <f>IFERROR(AVERAGE(Data!F1602), "  ")</f>
        <v xml:space="preserve">  </v>
      </c>
      <c r="G1600" s="42" t="str">
        <f>IFERROR(AVERAGE(Data!G1602), "  ")</f>
        <v xml:space="preserve">  </v>
      </c>
      <c r="H1600" s="44" t="str">
        <f>IFERROR(AVERAGE(Data!H1602), "  ")</f>
        <v xml:space="preserve">  </v>
      </c>
      <c r="I1600" s="44" t="str">
        <f>IFERROR(AVERAGE(Data!I1602), "  ")</f>
        <v xml:space="preserve">  </v>
      </c>
      <c r="J1600" s="42" t="str">
        <f>IFERROR(AVERAGE(Data!J1602), "  ")</f>
        <v xml:space="preserve">  </v>
      </c>
      <c r="K1600" s="44" t="str">
        <f>IFERROR(AVERAGE(Data!K1602), "  ")</f>
        <v xml:space="preserve">  </v>
      </c>
      <c r="L1600" s="45" t="str">
        <f>IFERROR(AVERAGE(Data!L1602), "  ")</f>
        <v xml:space="preserve">  </v>
      </c>
    </row>
    <row r="1601" spans="1:12" x14ac:dyDescent="0.2">
      <c r="A1601" s="43"/>
      <c r="B1601" s="42" t="str">
        <f>IFERROR(AVERAGE(Data!B1603), "  ")</f>
        <v xml:space="preserve">  </v>
      </c>
      <c r="C1601" s="42" t="str">
        <f>IFERROR(AVERAGE(Data!C1603), "  ")</f>
        <v xml:space="preserve">  </v>
      </c>
      <c r="D1601" s="42" t="str">
        <f>IFERROR(AVERAGE(Data!D1603), "  ")</f>
        <v xml:space="preserve">  </v>
      </c>
      <c r="E1601" s="42" t="str">
        <f>IFERROR(AVERAGE(Data!E1603), "  ")</f>
        <v xml:space="preserve">  </v>
      </c>
      <c r="F1601" s="42" t="str">
        <f>IFERROR(AVERAGE(Data!F1603), "  ")</f>
        <v xml:space="preserve">  </v>
      </c>
      <c r="G1601" s="42" t="str">
        <f>IFERROR(AVERAGE(Data!G1603), "  ")</f>
        <v xml:space="preserve">  </v>
      </c>
      <c r="H1601" s="44" t="str">
        <f>IFERROR(AVERAGE(Data!H1603), "  ")</f>
        <v xml:space="preserve">  </v>
      </c>
      <c r="I1601" s="44" t="str">
        <f>IFERROR(AVERAGE(Data!I1603), "  ")</f>
        <v xml:space="preserve">  </v>
      </c>
      <c r="J1601" s="42" t="str">
        <f>IFERROR(AVERAGE(Data!J1603), "  ")</f>
        <v xml:space="preserve">  </v>
      </c>
      <c r="K1601" s="44" t="str">
        <f>IFERROR(AVERAGE(Data!K1603), "  ")</f>
        <v xml:space="preserve">  </v>
      </c>
      <c r="L1601" s="45" t="str">
        <f>IFERROR(AVERAGE(Data!L1603), "  ")</f>
        <v xml:space="preserve">  </v>
      </c>
    </row>
    <row r="1602" spans="1:12" x14ac:dyDescent="0.2">
      <c r="A1602" s="43"/>
      <c r="B1602" s="42" t="str">
        <f>IFERROR(AVERAGE(Data!B1604), "  ")</f>
        <v xml:space="preserve">  </v>
      </c>
      <c r="C1602" s="42" t="str">
        <f>IFERROR(AVERAGE(Data!C1604), "  ")</f>
        <v xml:space="preserve">  </v>
      </c>
      <c r="D1602" s="42" t="str">
        <f>IFERROR(AVERAGE(Data!D1604), "  ")</f>
        <v xml:space="preserve">  </v>
      </c>
      <c r="E1602" s="42" t="str">
        <f>IFERROR(AVERAGE(Data!E1604), "  ")</f>
        <v xml:space="preserve">  </v>
      </c>
      <c r="F1602" s="42" t="str">
        <f>IFERROR(AVERAGE(Data!F1604), "  ")</f>
        <v xml:space="preserve">  </v>
      </c>
      <c r="G1602" s="42" t="str">
        <f>IFERROR(AVERAGE(Data!G1604), "  ")</f>
        <v xml:space="preserve">  </v>
      </c>
      <c r="H1602" s="44" t="str">
        <f>IFERROR(AVERAGE(Data!H1604), "  ")</f>
        <v xml:space="preserve">  </v>
      </c>
      <c r="I1602" s="44" t="str">
        <f>IFERROR(AVERAGE(Data!I1604), "  ")</f>
        <v xml:space="preserve">  </v>
      </c>
      <c r="J1602" s="42" t="str">
        <f>IFERROR(AVERAGE(Data!J1604), "  ")</f>
        <v xml:space="preserve">  </v>
      </c>
      <c r="K1602" s="44" t="str">
        <f>IFERROR(AVERAGE(Data!K1604), "  ")</f>
        <v xml:space="preserve">  </v>
      </c>
      <c r="L1602" s="45" t="str">
        <f>IFERROR(AVERAGE(Data!L1604), "  ")</f>
        <v xml:space="preserve">  </v>
      </c>
    </row>
    <row r="1603" spans="1:12" x14ac:dyDescent="0.2">
      <c r="A1603" s="43"/>
      <c r="B1603" s="42" t="str">
        <f>IFERROR(AVERAGE(Data!B1605), "  ")</f>
        <v xml:space="preserve">  </v>
      </c>
      <c r="C1603" s="42" t="str">
        <f>IFERROR(AVERAGE(Data!C1605), "  ")</f>
        <v xml:space="preserve">  </v>
      </c>
      <c r="D1603" s="42" t="str">
        <f>IFERROR(AVERAGE(Data!D1605), "  ")</f>
        <v xml:space="preserve">  </v>
      </c>
      <c r="E1603" s="42" t="str">
        <f>IFERROR(AVERAGE(Data!E1605), "  ")</f>
        <v xml:space="preserve">  </v>
      </c>
      <c r="F1603" s="42" t="str">
        <f>IFERROR(AVERAGE(Data!F1605), "  ")</f>
        <v xml:space="preserve">  </v>
      </c>
      <c r="G1603" s="42" t="str">
        <f>IFERROR(AVERAGE(Data!G1605), "  ")</f>
        <v xml:space="preserve">  </v>
      </c>
      <c r="H1603" s="44" t="str">
        <f>IFERROR(AVERAGE(Data!H1605), "  ")</f>
        <v xml:space="preserve">  </v>
      </c>
      <c r="I1603" s="44" t="str">
        <f>IFERROR(AVERAGE(Data!I1605), "  ")</f>
        <v xml:space="preserve">  </v>
      </c>
      <c r="J1603" s="42" t="str">
        <f>IFERROR(AVERAGE(Data!J1605), "  ")</f>
        <v xml:space="preserve">  </v>
      </c>
      <c r="K1603" s="44" t="str">
        <f>IFERROR(AVERAGE(Data!K1605), "  ")</f>
        <v xml:space="preserve">  </v>
      </c>
      <c r="L1603" s="45" t="str">
        <f>IFERROR(AVERAGE(Data!L1605), "  ")</f>
        <v xml:space="preserve">  </v>
      </c>
    </row>
    <row r="1604" spans="1:12" x14ac:dyDescent="0.2">
      <c r="A1604" s="43"/>
      <c r="B1604" s="42" t="str">
        <f>IFERROR(AVERAGE(Data!B1606), "  ")</f>
        <v xml:space="preserve">  </v>
      </c>
      <c r="C1604" s="42" t="str">
        <f>IFERROR(AVERAGE(Data!C1606), "  ")</f>
        <v xml:space="preserve">  </v>
      </c>
      <c r="D1604" s="42" t="str">
        <f>IFERROR(AVERAGE(Data!D1606), "  ")</f>
        <v xml:space="preserve">  </v>
      </c>
      <c r="E1604" s="42" t="str">
        <f>IFERROR(AVERAGE(Data!E1606), "  ")</f>
        <v xml:space="preserve">  </v>
      </c>
      <c r="F1604" s="42" t="str">
        <f>IFERROR(AVERAGE(Data!F1606), "  ")</f>
        <v xml:space="preserve">  </v>
      </c>
      <c r="G1604" s="42" t="str">
        <f>IFERROR(AVERAGE(Data!G1606), "  ")</f>
        <v xml:space="preserve">  </v>
      </c>
      <c r="H1604" s="44" t="str">
        <f>IFERROR(AVERAGE(Data!H1606), "  ")</f>
        <v xml:space="preserve">  </v>
      </c>
      <c r="I1604" s="44" t="str">
        <f>IFERROR(AVERAGE(Data!I1606), "  ")</f>
        <v xml:space="preserve">  </v>
      </c>
      <c r="J1604" s="42" t="str">
        <f>IFERROR(AVERAGE(Data!J1606), "  ")</f>
        <v xml:space="preserve">  </v>
      </c>
      <c r="K1604" s="44" t="str">
        <f>IFERROR(AVERAGE(Data!K1606), "  ")</f>
        <v xml:space="preserve">  </v>
      </c>
      <c r="L1604" s="45" t="str">
        <f>IFERROR(AVERAGE(Data!L1606), "  ")</f>
        <v xml:space="preserve">  </v>
      </c>
    </row>
    <row r="1605" spans="1:12" x14ac:dyDescent="0.2">
      <c r="A1605" s="43"/>
      <c r="B1605" s="42" t="str">
        <f>IFERROR(AVERAGE(Data!B1607), "  ")</f>
        <v xml:space="preserve">  </v>
      </c>
      <c r="C1605" s="42" t="str">
        <f>IFERROR(AVERAGE(Data!C1607), "  ")</f>
        <v xml:space="preserve">  </v>
      </c>
      <c r="D1605" s="42" t="str">
        <f>IFERROR(AVERAGE(Data!D1607), "  ")</f>
        <v xml:space="preserve">  </v>
      </c>
      <c r="E1605" s="42" t="str">
        <f>IFERROR(AVERAGE(Data!E1607), "  ")</f>
        <v xml:space="preserve">  </v>
      </c>
      <c r="F1605" s="42" t="str">
        <f>IFERROR(AVERAGE(Data!F1607), "  ")</f>
        <v xml:space="preserve">  </v>
      </c>
      <c r="G1605" s="42" t="str">
        <f>IFERROR(AVERAGE(Data!G1607), "  ")</f>
        <v xml:space="preserve">  </v>
      </c>
      <c r="H1605" s="44" t="str">
        <f>IFERROR(AVERAGE(Data!H1607), "  ")</f>
        <v xml:space="preserve">  </v>
      </c>
      <c r="I1605" s="44" t="str">
        <f>IFERROR(AVERAGE(Data!I1607), "  ")</f>
        <v xml:space="preserve">  </v>
      </c>
      <c r="J1605" s="42" t="str">
        <f>IFERROR(AVERAGE(Data!J1607), "  ")</f>
        <v xml:space="preserve">  </v>
      </c>
      <c r="K1605" s="44" t="str">
        <f>IFERROR(AVERAGE(Data!K1607), "  ")</f>
        <v xml:space="preserve">  </v>
      </c>
      <c r="L1605" s="45" t="str">
        <f>IFERROR(AVERAGE(Data!L1607), "  ")</f>
        <v xml:space="preserve">  </v>
      </c>
    </row>
    <row r="1606" spans="1:12" x14ac:dyDescent="0.2">
      <c r="A1606" s="43"/>
      <c r="B1606" s="42" t="str">
        <f>IFERROR(AVERAGE(Data!B1608), "  ")</f>
        <v xml:space="preserve">  </v>
      </c>
      <c r="C1606" s="42" t="str">
        <f>IFERROR(AVERAGE(Data!C1608), "  ")</f>
        <v xml:space="preserve">  </v>
      </c>
      <c r="D1606" s="42" t="str">
        <f>IFERROR(AVERAGE(Data!D1608), "  ")</f>
        <v xml:space="preserve">  </v>
      </c>
      <c r="E1606" s="42" t="str">
        <f>IFERROR(AVERAGE(Data!E1608), "  ")</f>
        <v xml:space="preserve">  </v>
      </c>
      <c r="F1606" s="42" t="str">
        <f>IFERROR(AVERAGE(Data!F1608), "  ")</f>
        <v xml:space="preserve">  </v>
      </c>
      <c r="G1606" s="42" t="str">
        <f>IFERROR(AVERAGE(Data!G1608), "  ")</f>
        <v xml:space="preserve">  </v>
      </c>
      <c r="H1606" s="44" t="str">
        <f>IFERROR(AVERAGE(Data!H1608), "  ")</f>
        <v xml:space="preserve">  </v>
      </c>
      <c r="I1606" s="44" t="str">
        <f>IFERROR(AVERAGE(Data!I1608), "  ")</f>
        <v xml:space="preserve">  </v>
      </c>
      <c r="J1606" s="42" t="str">
        <f>IFERROR(AVERAGE(Data!J1608), "  ")</f>
        <v xml:space="preserve">  </v>
      </c>
      <c r="K1606" s="44" t="str">
        <f>IFERROR(AVERAGE(Data!K1608), "  ")</f>
        <v xml:space="preserve">  </v>
      </c>
      <c r="L1606" s="45" t="str">
        <f>IFERROR(AVERAGE(Data!L1608), "  ")</f>
        <v xml:space="preserve">  </v>
      </c>
    </row>
    <row r="1607" spans="1:12" x14ac:dyDescent="0.2">
      <c r="A1607" s="43"/>
      <c r="B1607" s="42" t="str">
        <f>IFERROR(AVERAGE(Data!B1609), "  ")</f>
        <v xml:space="preserve">  </v>
      </c>
      <c r="C1607" s="42" t="str">
        <f>IFERROR(AVERAGE(Data!C1609), "  ")</f>
        <v xml:space="preserve">  </v>
      </c>
      <c r="D1607" s="42" t="str">
        <f>IFERROR(AVERAGE(Data!D1609), "  ")</f>
        <v xml:space="preserve">  </v>
      </c>
      <c r="E1607" s="42" t="str">
        <f>IFERROR(AVERAGE(Data!E1609), "  ")</f>
        <v xml:space="preserve">  </v>
      </c>
      <c r="F1607" s="42" t="str">
        <f>IFERROR(AVERAGE(Data!F1609), "  ")</f>
        <v xml:space="preserve">  </v>
      </c>
      <c r="G1607" s="42" t="str">
        <f>IFERROR(AVERAGE(Data!G1609), "  ")</f>
        <v xml:space="preserve">  </v>
      </c>
      <c r="H1607" s="44" t="str">
        <f>IFERROR(AVERAGE(Data!H1609), "  ")</f>
        <v xml:space="preserve">  </v>
      </c>
      <c r="I1607" s="44" t="str">
        <f>IFERROR(AVERAGE(Data!I1609), "  ")</f>
        <v xml:space="preserve">  </v>
      </c>
      <c r="J1607" s="42" t="str">
        <f>IFERROR(AVERAGE(Data!J1609), "  ")</f>
        <v xml:space="preserve">  </v>
      </c>
      <c r="K1607" s="44" t="str">
        <f>IFERROR(AVERAGE(Data!K1609), "  ")</f>
        <v xml:space="preserve">  </v>
      </c>
      <c r="L1607" s="45" t="str">
        <f>IFERROR(AVERAGE(Data!L1609), "  ")</f>
        <v xml:space="preserve">  </v>
      </c>
    </row>
    <row r="1608" spans="1:12" x14ac:dyDescent="0.2">
      <c r="A1608" s="43"/>
      <c r="B1608" s="42" t="str">
        <f>IFERROR(AVERAGE(Data!B1610), "  ")</f>
        <v xml:space="preserve">  </v>
      </c>
      <c r="C1608" s="42" t="str">
        <f>IFERROR(AVERAGE(Data!C1610), "  ")</f>
        <v xml:space="preserve">  </v>
      </c>
      <c r="D1608" s="42" t="str">
        <f>IFERROR(AVERAGE(Data!D1610), "  ")</f>
        <v xml:space="preserve">  </v>
      </c>
      <c r="E1608" s="42" t="str">
        <f>IFERROR(AVERAGE(Data!E1610), "  ")</f>
        <v xml:space="preserve">  </v>
      </c>
      <c r="F1608" s="42" t="str">
        <f>IFERROR(AVERAGE(Data!F1610), "  ")</f>
        <v xml:space="preserve">  </v>
      </c>
      <c r="G1608" s="42" t="str">
        <f>IFERROR(AVERAGE(Data!G1610), "  ")</f>
        <v xml:space="preserve">  </v>
      </c>
      <c r="H1608" s="44" t="str">
        <f>IFERROR(AVERAGE(Data!H1610), "  ")</f>
        <v xml:space="preserve">  </v>
      </c>
      <c r="I1608" s="44" t="str">
        <f>IFERROR(AVERAGE(Data!I1610), "  ")</f>
        <v xml:space="preserve">  </v>
      </c>
      <c r="J1608" s="42" t="str">
        <f>IFERROR(AVERAGE(Data!J1610), "  ")</f>
        <v xml:space="preserve">  </v>
      </c>
      <c r="K1608" s="44" t="str">
        <f>IFERROR(AVERAGE(Data!K1610), "  ")</f>
        <v xml:space="preserve">  </v>
      </c>
      <c r="L1608" s="45" t="str">
        <f>IFERROR(AVERAGE(Data!L1610), "  ")</f>
        <v xml:space="preserve">  </v>
      </c>
    </row>
    <row r="1609" spans="1:12" x14ac:dyDescent="0.2">
      <c r="A1609" s="43"/>
      <c r="B1609" s="42" t="str">
        <f>IFERROR(AVERAGE(Data!B1611), "  ")</f>
        <v xml:space="preserve">  </v>
      </c>
      <c r="C1609" s="42" t="str">
        <f>IFERROR(AVERAGE(Data!C1611), "  ")</f>
        <v xml:space="preserve">  </v>
      </c>
      <c r="D1609" s="42" t="str">
        <f>IFERROR(AVERAGE(Data!D1611), "  ")</f>
        <v xml:space="preserve">  </v>
      </c>
      <c r="E1609" s="42" t="str">
        <f>IFERROR(AVERAGE(Data!E1611), "  ")</f>
        <v xml:space="preserve">  </v>
      </c>
      <c r="F1609" s="42" t="str">
        <f>IFERROR(AVERAGE(Data!F1611), "  ")</f>
        <v xml:space="preserve">  </v>
      </c>
      <c r="G1609" s="42" t="str">
        <f>IFERROR(AVERAGE(Data!G1611), "  ")</f>
        <v xml:space="preserve">  </v>
      </c>
      <c r="H1609" s="44" t="str">
        <f>IFERROR(AVERAGE(Data!H1611), "  ")</f>
        <v xml:space="preserve">  </v>
      </c>
      <c r="I1609" s="44" t="str">
        <f>IFERROR(AVERAGE(Data!I1611), "  ")</f>
        <v xml:space="preserve">  </v>
      </c>
      <c r="J1609" s="42" t="str">
        <f>IFERROR(AVERAGE(Data!J1611), "  ")</f>
        <v xml:space="preserve">  </v>
      </c>
      <c r="K1609" s="44" t="str">
        <f>IFERROR(AVERAGE(Data!K1611), "  ")</f>
        <v xml:space="preserve">  </v>
      </c>
      <c r="L1609" s="45" t="str">
        <f>IFERROR(AVERAGE(Data!L1611), "  ")</f>
        <v xml:space="preserve">  </v>
      </c>
    </row>
    <row r="1610" spans="1:12" x14ac:dyDescent="0.2">
      <c r="A1610" s="43"/>
      <c r="B1610" s="42" t="str">
        <f>IFERROR(AVERAGE(Data!B1612), "  ")</f>
        <v xml:space="preserve">  </v>
      </c>
      <c r="C1610" s="42" t="str">
        <f>IFERROR(AVERAGE(Data!C1612), "  ")</f>
        <v xml:space="preserve">  </v>
      </c>
      <c r="D1610" s="42" t="str">
        <f>IFERROR(AVERAGE(Data!D1612), "  ")</f>
        <v xml:space="preserve">  </v>
      </c>
      <c r="E1610" s="42" t="str">
        <f>IFERROR(AVERAGE(Data!E1612), "  ")</f>
        <v xml:space="preserve">  </v>
      </c>
      <c r="F1610" s="42" t="str">
        <f>IFERROR(AVERAGE(Data!F1612), "  ")</f>
        <v xml:space="preserve">  </v>
      </c>
      <c r="G1610" s="42" t="str">
        <f>IFERROR(AVERAGE(Data!G1612), "  ")</f>
        <v xml:space="preserve">  </v>
      </c>
      <c r="H1610" s="44" t="str">
        <f>IFERROR(AVERAGE(Data!H1612), "  ")</f>
        <v xml:space="preserve">  </v>
      </c>
      <c r="I1610" s="44" t="str">
        <f>IFERROR(AVERAGE(Data!I1612), "  ")</f>
        <v xml:space="preserve">  </v>
      </c>
      <c r="J1610" s="42" t="str">
        <f>IFERROR(AVERAGE(Data!J1612), "  ")</f>
        <v xml:space="preserve">  </v>
      </c>
      <c r="K1610" s="44" t="str">
        <f>IFERROR(AVERAGE(Data!K1612), "  ")</f>
        <v xml:space="preserve">  </v>
      </c>
      <c r="L1610" s="45" t="str">
        <f>IFERROR(AVERAGE(Data!L1612), "  ")</f>
        <v xml:space="preserve">  </v>
      </c>
    </row>
    <row r="1611" spans="1:12" x14ac:dyDescent="0.2">
      <c r="A1611" s="43"/>
      <c r="B1611" s="42" t="str">
        <f>IFERROR(AVERAGE(Data!B1613), "  ")</f>
        <v xml:space="preserve">  </v>
      </c>
      <c r="C1611" s="42" t="str">
        <f>IFERROR(AVERAGE(Data!C1613), "  ")</f>
        <v xml:space="preserve">  </v>
      </c>
      <c r="D1611" s="42" t="str">
        <f>IFERROR(AVERAGE(Data!D1613), "  ")</f>
        <v xml:space="preserve">  </v>
      </c>
      <c r="E1611" s="42" t="str">
        <f>IFERROR(AVERAGE(Data!E1613), "  ")</f>
        <v xml:space="preserve">  </v>
      </c>
      <c r="F1611" s="42" t="str">
        <f>IFERROR(AVERAGE(Data!F1613), "  ")</f>
        <v xml:space="preserve">  </v>
      </c>
      <c r="G1611" s="42" t="str">
        <f>IFERROR(AVERAGE(Data!G1613), "  ")</f>
        <v xml:space="preserve">  </v>
      </c>
      <c r="H1611" s="44" t="str">
        <f>IFERROR(AVERAGE(Data!H1613), "  ")</f>
        <v xml:space="preserve">  </v>
      </c>
      <c r="I1611" s="44" t="str">
        <f>IFERROR(AVERAGE(Data!I1613), "  ")</f>
        <v xml:space="preserve">  </v>
      </c>
      <c r="J1611" s="42" t="str">
        <f>IFERROR(AVERAGE(Data!J1613), "  ")</f>
        <v xml:space="preserve">  </v>
      </c>
      <c r="K1611" s="44" t="str">
        <f>IFERROR(AVERAGE(Data!K1613), "  ")</f>
        <v xml:space="preserve">  </v>
      </c>
      <c r="L1611" s="45" t="str">
        <f>IFERROR(AVERAGE(Data!L1613), "  ")</f>
        <v xml:space="preserve">  </v>
      </c>
    </row>
    <row r="1612" spans="1:12" x14ac:dyDescent="0.2">
      <c r="A1612" s="43"/>
      <c r="B1612" s="42" t="str">
        <f>IFERROR(AVERAGE(Data!B1614), "  ")</f>
        <v xml:space="preserve">  </v>
      </c>
      <c r="C1612" s="42" t="str">
        <f>IFERROR(AVERAGE(Data!C1614), "  ")</f>
        <v xml:space="preserve">  </v>
      </c>
      <c r="D1612" s="42" t="str">
        <f>IFERROR(AVERAGE(Data!D1614), "  ")</f>
        <v xml:space="preserve">  </v>
      </c>
      <c r="E1612" s="42" t="str">
        <f>IFERROR(AVERAGE(Data!E1614), "  ")</f>
        <v xml:space="preserve">  </v>
      </c>
      <c r="F1612" s="42" t="str">
        <f>IFERROR(AVERAGE(Data!F1614), "  ")</f>
        <v xml:space="preserve">  </v>
      </c>
      <c r="G1612" s="42" t="str">
        <f>IFERROR(AVERAGE(Data!G1614), "  ")</f>
        <v xml:space="preserve">  </v>
      </c>
      <c r="H1612" s="44" t="str">
        <f>IFERROR(AVERAGE(Data!H1614), "  ")</f>
        <v xml:space="preserve">  </v>
      </c>
      <c r="I1612" s="44" t="str">
        <f>IFERROR(AVERAGE(Data!I1614), "  ")</f>
        <v xml:space="preserve">  </v>
      </c>
      <c r="J1612" s="42" t="str">
        <f>IFERROR(AVERAGE(Data!J1614), "  ")</f>
        <v xml:space="preserve">  </v>
      </c>
      <c r="K1612" s="44" t="str">
        <f>IFERROR(AVERAGE(Data!K1614), "  ")</f>
        <v xml:space="preserve">  </v>
      </c>
      <c r="L1612" s="45" t="str">
        <f>IFERROR(AVERAGE(Data!L1614), "  ")</f>
        <v xml:space="preserve">  </v>
      </c>
    </row>
    <row r="1613" spans="1:12" x14ac:dyDescent="0.2">
      <c r="A1613" s="43"/>
      <c r="B1613" s="42" t="str">
        <f>IFERROR(AVERAGE(Data!B1615), "  ")</f>
        <v xml:space="preserve">  </v>
      </c>
      <c r="C1613" s="42" t="str">
        <f>IFERROR(AVERAGE(Data!C1615), "  ")</f>
        <v xml:space="preserve">  </v>
      </c>
      <c r="D1613" s="42" t="str">
        <f>IFERROR(AVERAGE(Data!D1615), "  ")</f>
        <v xml:space="preserve">  </v>
      </c>
      <c r="E1613" s="42" t="str">
        <f>IFERROR(AVERAGE(Data!E1615), "  ")</f>
        <v xml:space="preserve">  </v>
      </c>
      <c r="F1613" s="42" t="str">
        <f>IFERROR(AVERAGE(Data!F1615), "  ")</f>
        <v xml:space="preserve">  </v>
      </c>
      <c r="G1613" s="42" t="str">
        <f>IFERROR(AVERAGE(Data!G1615), "  ")</f>
        <v xml:space="preserve">  </v>
      </c>
      <c r="H1613" s="44" t="str">
        <f>IFERROR(AVERAGE(Data!H1615), "  ")</f>
        <v xml:space="preserve">  </v>
      </c>
      <c r="I1613" s="44" t="str">
        <f>IFERROR(AVERAGE(Data!I1615), "  ")</f>
        <v xml:space="preserve">  </v>
      </c>
      <c r="J1613" s="42" t="str">
        <f>IFERROR(AVERAGE(Data!J1615), "  ")</f>
        <v xml:space="preserve">  </v>
      </c>
      <c r="K1613" s="44" t="str">
        <f>IFERROR(AVERAGE(Data!K1615), "  ")</f>
        <v xml:space="preserve">  </v>
      </c>
      <c r="L1613" s="45" t="str">
        <f>IFERROR(AVERAGE(Data!L1615), "  ")</f>
        <v xml:space="preserve">  </v>
      </c>
    </row>
    <row r="1614" spans="1:12" x14ac:dyDescent="0.2">
      <c r="A1614" s="43"/>
      <c r="B1614" s="42" t="str">
        <f>IFERROR(AVERAGE(Data!B1616), "  ")</f>
        <v xml:space="preserve">  </v>
      </c>
      <c r="C1614" s="42" t="str">
        <f>IFERROR(AVERAGE(Data!C1616), "  ")</f>
        <v xml:space="preserve">  </v>
      </c>
      <c r="D1614" s="42" t="str">
        <f>IFERROR(AVERAGE(Data!D1616), "  ")</f>
        <v xml:space="preserve">  </v>
      </c>
      <c r="E1614" s="42" t="str">
        <f>IFERROR(AVERAGE(Data!E1616), "  ")</f>
        <v xml:space="preserve">  </v>
      </c>
      <c r="F1614" s="42" t="str">
        <f>IFERROR(AVERAGE(Data!F1616), "  ")</f>
        <v xml:space="preserve">  </v>
      </c>
      <c r="G1614" s="42" t="str">
        <f>IFERROR(AVERAGE(Data!G1616), "  ")</f>
        <v xml:space="preserve">  </v>
      </c>
      <c r="H1614" s="44" t="str">
        <f>IFERROR(AVERAGE(Data!H1616), "  ")</f>
        <v xml:space="preserve">  </v>
      </c>
      <c r="I1614" s="44" t="str">
        <f>IFERROR(AVERAGE(Data!I1616), "  ")</f>
        <v xml:space="preserve">  </v>
      </c>
      <c r="J1614" s="42" t="str">
        <f>IFERROR(AVERAGE(Data!J1616), "  ")</f>
        <v xml:space="preserve">  </v>
      </c>
      <c r="K1614" s="44" t="str">
        <f>IFERROR(AVERAGE(Data!K1616), "  ")</f>
        <v xml:space="preserve">  </v>
      </c>
      <c r="L1614" s="45" t="str">
        <f>IFERROR(AVERAGE(Data!L1616), "  ")</f>
        <v xml:space="preserve">  </v>
      </c>
    </row>
    <row r="1615" spans="1:12" x14ac:dyDescent="0.2">
      <c r="A1615" s="43"/>
      <c r="B1615" s="42" t="str">
        <f>IFERROR(AVERAGE(Data!B1617), "  ")</f>
        <v xml:space="preserve">  </v>
      </c>
      <c r="C1615" s="42" t="str">
        <f>IFERROR(AVERAGE(Data!C1617), "  ")</f>
        <v xml:space="preserve">  </v>
      </c>
      <c r="D1615" s="42" t="str">
        <f>IFERROR(AVERAGE(Data!D1617), "  ")</f>
        <v xml:space="preserve">  </v>
      </c>
      <c r="E1615" s="42" t="str">
        <f>IFERROR(AVERAGE(Data!E1617), "  ")</f>
        <v xml:space="preserve">  </v>
      </c>
      <c r="F1615" s="42" t="str">
        <f>IFERROR(AVERAGE(Data!F1617), "  ")</f>
        <v xml:space="preserve">  </v>
      </c>
      <c r="G1615" s="42" t="str">
        <f>IFERROR(AVERAGE(Data!G1617), "  ")</f>
        <v xml:space="preserve">  </v>
      </c>
      <c r="H1615" s="44" t="str">
        <f>IFERROR(AVERAGE(Data!H1617), "  ")</f>
        <v xml:space="preserve">  </v>
      </c>
      <c r="I1615" s="44" t="str">
        <f>IFERROR(AVERAGE(Data!I1617), "  ")</f>
        <v xml:space="preserve">  </v>
      </c>
      <c r="J1615" s="42" t="str">
        <f>IFERROR(AVERAGE(Data!J1617), "  ")</f>
        <v xml:space="preserve">  </v>
      </c>
      <c r="K1615" s="44" t="str">
        <f>IFERROR(AVERAGE(Data!K1617), "  ")</f>
        <v xml:space="preserve">  </v>
      </c>
      <c r="L1615" s="45" t="str">
        <f>IFERROR(AVERAGE(Data!L1617), "  ")</f>
        <v xml:space="preserve">  </v>
      </c>
    </row>
    <row r="1616" spans="1:12" x14ac:dyDescent="0.2">
      <c r="A1616" s="43"/>
      <c r="B1616" s="42" t="str">
        <f>IFERROR(AVERAGE(Data!B1618), "  ")</f>
        <v xml:space="preserve">  </v>
      </c>
      <c r="C1616" s="42" t="str">
        <f>IFERROR(AVERAGE(Data!C1618), "  ")</f>
        <v xml:space="preserve">  </v>
      </c>
      <c r="D1616" s="42" t="str">
        <f>IFERROR(AVERAGE(Data!D1618), "  ")</f>
        <v xml:space="preserve">  </v>
      </c>
      <c r="E1616" s="42" t="str">
        <f>IFERROR(AVERAGE(Data!E1618), "  ")</f>
        <v xml:space="preserve">  </v>
      </c>
      <c r="F1616" s="42" t="str">
        <f>IFERROR(AVERAGE(Data!F1618), "  ")</f>
        <v xml:space="preserve">  </v>
      </c>
      <c r="G1616" s="42" t="str">
        <f>IFERROR(AVERAGE(Data!G1618), "  ")</f>
        <v xml:space="preserve">  </v>
      </c>
      <c r="H1616" s="44" t="str">
        <f>IFERROR(AVERAGE(Data!H1618), "  ")</f>
        <v xml:space="preserve">  </v>
      </c>
      <c r="I1616" s="44" t="str">
        <f>IFERROR(AVERAGE(Data!I1618), "  ")</f>
        <v xml:space="preserve">  </v>
      </c>
      <c r="J1616" s="42" t="str">
        <f>IFERROR(AVERAGE(Data!J1618), "  ")</f>
        <v xml:space="preserve">  </v>
      </c>
      <c r="K1616" s="44" t="str">
        <f>IFERROR(AVERAGE(Data!K1618), "  ")</f>
        <v xml:space="preserve">  </v>
      </c>
      <c r="L1616" s="45" t="str">
        <f>IFERROR(AVERAGE(Data!L1618), "  ")</f>
        <v xml:space="preserve">  </v>
      </c>
    </row>
    <row r="1617" spans="1:12" x14ac:dyDescent="0.2">
      <c r="A1617" s="43"/>
      <c r="B1617" s="42" t="str">
        <f>IFERROR(AVERAGE(Data!B1619), "  ")</f>
        <v xml:space="preserve">  </v>
      </c>
      <c r="C1617" s="42" t="str">
        <f>IFERROR(AVERAGE(Data!C1619), "  ")</f>
        <v xml:space="preserve">  </v>
      </c>
      <c r="D1617" s="42" t="str">
        <f>IFERROR(AVERAGE(Data!D1619), "  ")</f>
        <v xml:space="preserve">  </v>
      </c>
      <c r="E1617" s="42" t="str">
        <f>IFERROR(AVERAGE(Data!E1619), "  ")</f>
        <v xml:space="preserve">  </v>
      </c>
      <c r="F1617" s="42" t="str">
        <f>IFERROR(AVERAGE(Data!F1619), "  ")</f>
        <v xml:space="preserve">  </v>
      </c>
      <c r="G1617" s="42" t="str">
        <f>IFERROR(AVERAGE(Data!G1619), "  ")</f>
        <v xml:space="preserve">  </v>
      </c>
      <c r="H1617" s="44" t="str">
        <f>IFERROR(AVERAGE(Data!H1619), "  ")</f>
        <v xml:space="preserve">  </v>
      </c>
      <c r="I1617" s="44" t="str">
        <f>IFERROR(AVERAGE(Data!I1619), "  ")</f>
        <v xml:space="preserve">  </v>
      </c>
      <c r="J1617" s="42" t="str">
        <f>IFERROR(AVERAGE(Data!J1619), "  ")</f>
        <v xml:space="preserve">  </v>
      </c>
      <c r="K1617" s="44" t="str">
        <f>IFERROR(AVERAGE(Data!K1619), "  ")</f>
        <v xml:space="preserve">  </v>
      </c>
      <c r="L1617" s="45" t="str">
        <f>IFERROR(AVERAGE(Data!L1619), "  ")</f>
        <v xml:space="preserve">  </v>
      </c>
    </row>
    <row r="1618" spans="1:12" x14ac:dyDescent="0.2">
      <c r="A1618" s="43"/>
      <c r="B1618" s="42" t="str">
        <f>IFERROR(AVERAGE(Data!B1620), "  ")</f>
        <v xml:space="preserve">  </v>
      </c>
      <c r="C1618" s="42" t="str">
        <f>IFERROR(AVERAGE(Data!C1620), "  ")</f>
        <v xml:space="preserve">  </v>
      </c>
      <c r="D1618" s="42" t="str">
        <f>IFERROR(AVERAGE(Data!D1620), "  ")</f>
        <v xml:space="preserve">  </v>
      </c>
      <c r="E1618" s="42" t="str">
        <f>IFERROR(AVERAGE(Data!E1620), "  ")</f>
        <v xml:space="preserve">  </v>
      </c>
      <c r="F1618" s="42" t="str">
        <f>IFERROR(AVERAGE(Data!F1620), "  ")</f>
        <v xml:space="preserve">  </v>
      </c>
      <c r="G1618" s="42" t="str">
        <f>IFERROR(AVERAGE(Data!G1620), "  ")</f>
        <v xml:space="preserve">  </v>
      </c>
      <c r="H1618" s="44" t="str">
        <f>IFERROR(AVERAGE(Data!H1620), "  ")</f>
        <v xml:space="preserve">  </v>
      </c>
      <c r="I1618" s="44" t="str">
        <f>IFERROR(AVERAGE(Data!I1620), "  ")</f>
        <v xml:space="preserve">  </v>
      </c>
      <c r="J1618" s="42" t="str">
        <f>IFERROR(AVERAGE(Data!J1620), "  ")</f>
        <v xml:space="preserve">  </v>
      </c>
      <c r="K1618" s="44" t="str">
        <f>IFERROR(AVERAGE(Data!K1620), "  ")</f>
        <v xml:space="preserve">  </v>
      </c>
      <c r="L1618" s="45" t="str">
        <f>IFERROR(AVERAGE(Data!L1620), "  ")</f>
        <v xml:space="preserve">  </v>
      </c>
    </row>
    <row r="1619" spans="1:12" x14ac:dyDescent="0.2">
      <c r="A1619" s="43"/>
      <c r="B1619" s="42" t="str">
        <f>IFERROR(AVERAGE(Data!B1621), "  ")</f>
        <v xml:space="preserve">  </v>
      </c>
      <c r="C1619" s="42" t="str">
        <f>IFERROR(AVERAGE(Data!C1621), "  ")</f>
        <v xml:space="preserve">  </v>
      </c>
      <c r="D1619" s="42" t="str">
        <f>IFERROR(AVERAGE(Data!D1621), "  ")</f>
        <v xml:space="preserve">  </v>
      </c>
      <c r="E1619" s="42" t="str">
        <f>IFERROR(AVERAGE(Data!E1621), "  ")</f>
        <v xml:space="preserve">  </v>
      </c>
      <c r="F1619" s="42" t="str">
        <f>IFERROR(AVERAGE(Data!F1621), "  ")</f>
        <v xml:space="preserve">  </v>
      </c>
      <c r="G1619" s="42" t="str">
        <f>IFERROR(AVERAGE(Data!G1621), "  ")</f>
        <v xml:space="preserve">  </v>
      </c>
      <c r="H1619" s="44" t="str">
        <f>IFERROR(AVERAGE(Data!H1621), "  ")</f>
        <v xml:space="preserve">  </v>
      </c>
      <c r="I1619" s="44" t="str">
        <f>IFERROR(AVERAGE(Data!I1621), "  ")</f>
        <v xml:space="preserve">  </v>
      </c>
      <c r="J1619" s="42" t="str">
        <f>IFERROR(AVERAGE(Data!J1621), "  ")</f>
        <v xml:space="preserve">  </v>
      </c>
      <c r="K1619" s="44" t="str">
        <f>IFERROR(AVERAGE(Data!K1621), "  ")</f>
        <v xml:space="preserve">  </v>
      </c>
      <c r="L1619" s="45" t="str">
        <f>IFERROR(AVERAGE(Data!L1621), "  ")</f>
        <v xml:space="preserve">  </v>
      </c>
    </row>
    <row r="1620" spans="1:12" x14ac:dyDescent="0.2">
      <c r="A1620" s="43"/>
      <c r="B1620" s="42" t="str">
        <f>IFERROR(AVERAGE(Data!B1622), "  ")</f>
        <v xml:space="preserve">  </v>
      </c>
      <c r="C1620" s="42" t="str">
        <f>IFERROR(AVERAGE(Data!C1622), "  ")</f>
        <v xml:space="preserve">  </v>
      </c>
      <c r="D1620" s="42" t="str">
        <f>IFERROR(AVERAGE(Data!D1622), "  ")</f>
        <v xml:space="preserve">  </v>
      </c>
      <c r="E1620" s="42" t="str">
        <f>IFERROR(AVERAGE(Data!E1622), "  ")</f>
        <v xml:space="preserve">  </v>
      </c>
      <c r="F1620" s="42" t="str">
        <f>IFERROR(AVERAGE(Data!F1622), "  ")</f>
        <v xml:space="preserve">  </v>
      </c>
      <c r="G1620" s="42" t="str">
        <f>IFERROR(AVERAGE(Data!G1622), "  ")</f>
        <v xml:space="preserve">  </v>
      </c>
      <c r="H1620" s="44" t="str">
        <f>IFERROR(AVERAGE(Data!H1622), "  ")</f>
        <v xml:space="preserve">  </v>
      </c>
      <c r="I1620" s="44" t="str">
        <f>IFERROR(AVERAGE(Data!I1622), "  ")</f>
        <v xml:space="preserve">  </v>
      </c>
      <c r="J1620" s="42" t="str">
        <f>IFERROR(AVERAGE(Data!J1622), "  ")</f>
        <v xml:space="preserve">  </v>
      </c>
      <c r="K1620" s="44" t="str">
        <f>IFERROR(AVERAGE(Data!K1622), "  ")</f>
        <v xml:space="preserve">  </v>
      </c>
      <c r="L1620" s="45" t="str">
        <f>IFERROR(AVERAGE(Data!L1622), "  ")</f>
        <v xml:space="preserve">  </v>
      </c>
    </row>
    <row r="1621" spans="1:12" x14ac:dyDescent="0.2">
      <c r="A1621" s="43"/>
      <c r="B1621" s="42" t="str">
        <f>IFERROR(AVERAGE(Data!B1623), "  ")</f>
        <v xml:space="preserve">  </v>
      </c>
      <c r="C1621" s="42" t="str">
        <f>IFERROR(AVERAGE(Data!C1623), "  ")</f>
        <v xml:space="preserve">  </v>
      </c>
      <c r="D1621" s="42" t="str">
        <f>IFERROR(AVERAGE(Data!D1623), "  ")</f>
        <v xml:space="preserve">  </v>
      </c>
      <c r="E1621" s="42" t="str">
        <f>IFERROR(AVERAGE(Data!E1623), "  ")</f>
        <v xml:space="preserve">  </v>
      </c>
      <c r="F1621" s="42" t="str">
        <f>IFERROR(AVERAGE(Data!F1623), "  ")</f>
        <v xml:space="preserve">  </v>
      </c>
      <c r="G1621" s="42" t="str">
        <f>IFERROR(AVERAGE(Data!G1623), "  ")</f>
        <v xml:space="preserve">  </v>
      </c>
      <c r="H1621" s="44" t="str">
        <f>IFERROR(AVERAGE(Data!H1623), "  ")</f>
        <v xml:space="preserve">  </v>
      </c>
      <c r="I1621" s="44" t="str">
        <f>IFERROR(AVERAGE(Data!I1623), "  ")</f>
        <v xml:space="preserve">  </v>
      </c>
      <c r="J1621" s="42" t="str">
        <f>IFERROR(AVERAGE(Data!J1623), "  ")</f>
        <v xml:space="preserve">  </v>
      </c>
      <c r="K1621" s="44" t="str">
        <f>IFERROR(AVERAGE(Data!K1623), "  ")</f>
        <v xml:space="preserve">  </v>
      </c>
      <c r="L1621" s="45" t="str">
        <f>IFERROR(AVERAGE(Data!L1623), "  ")</f>
        <v xml:space="preserve">  </v>
      </c>
    </row>
    <row r="1622" spans="1:12" x14ac:dyDescent="0.2">
      <c r="A1622" s="43"/>
      <c r="B1622" s="42" t="str">
        <f>IFERROR(AVERAGE(Data!B1624), "  ")</f>
        <v xml:space="preserve">  </v>
      </c>
      <c r="C1622" s="42" t="str">
        <f>IFERROR(AVERAGE(Data!C1624), "  ")</f>
        <v xml:space="preserve">  </v>
      </c>
      <c r="D1622" s="42" t="str">
        <f>IFERROR(AVERAGE(Data!D1624), "  ")</f>
        <v xml:space="preserve">  </v>
      </c>
      <c r="E1622" s="42" t="str">
        <f>IFERROR(AVERAGE(Data!E1624), "  ")</f>
        <v xml:space="preserve">  </v>
      </c>
      <c r="F1622" s="42" t="str">
        <f>IFERROR(AVERAGE(Data!F1624), "  ")</f>
        <v xml:space="preserve">  </v>
      </c>
      <c r="G1622" s="42" t="str">
        <f>IFERROR(AVERAGE(Data!G1624), "  ")</f>
        <v xml:space="preserve">  </v>
      </c>
      <c r="H1622" s="44" t="str">
        <f>IFERROR(AVERAGE(Data!H1624), "  ")</f>
        <v xml:space="preserve">  </v>
      </c>
      <c r="I1622" s="44" t="str">
        <f>IFERROR(AVERAGE(Data!I1624), "  ")</f>
        <v xml:space="preserve">  </v>
      </c>
      <c r="J1622" s="42" t="str">
        <f>IFERROR(AVERAGE(Data!J1624), "  ")</f>
        <v xml:space="preserve">  </v>
      </c>
      <c r="K1622" s="44" t="str">
        <f>IFERROR(AVERAGE(Data!K1624), "  ")</f>
        <v xml:space="preserve">  </v>
      </c>
      <c r="L1622" s="45" t="str">
        <f>IFERROR(AVERAGE(Data!L1624), "  ")</f>
        <v xml:space="preserve">  </v>
      </c>
    </row>
    <row r="1623" spans="1:12" x14ac:dyDescent="0.2">
      <c r="A1623" s="43"/>
      <c r="B1623" s="42" t="str">
        <f>IFERROR(AVERAGE(Data!B1625), "  ")</f>
        <v xml:space="preserve">  </v>
      </c>
      <c r="C1623" s="42" t="str">
        <f>IFERROR(AVERAGE(Data!C1625), "  ")</f>
        <v xml:space="preserve">  </v>
      </c>
      <c r="D1623" s="42" t="str">
        <f>IFERROR(AVERAGE(Data!D1625), "  ")</f>
        <v xml:space="preserve">  </v>
      </c>
      <c r="E1623" s="42" t="str">
        <f>IFERROR(AVERAGE(Data!E1625), "  ")</f>
        <v xml:space="preserve">  </v>
      </c>
      <c r="F1623" s="42" t="str">
        <f>IFERROR(AVERAGE(Data!F1625), "  ")</f>
        <v xml:space="preserve">  </v>
      </c>
      <c r="G1623" s="42" t="str">
        <f>IFERROR(AVERAGE(Data!G1625), "  ")</f>
        <v xml:space="preserve">  </v>
      </c>
      <c r="H1623" s="44" t="str">
        <f>IFERROR(AVERAGE(Data!H1625), "  ")</f>
        <v xml:space="preserve">  </v>
      </c>
      <c r="I1623" s="44" t="str">
        <f>IFERROR(AVERAGE(Data!I1625), "  ")</f>
        <v xml:space="preserve">  </v>
      </c>
      <c r="J1623" s="42" t="str">
        <f>IFERROR(AVERAGE(Data!J1625), "  ")</f>
        <v xml:space="preserve">  </v>
      </c>
      <c r="K1623" s="44" t="str">
        <f>IFERROR(AVERAGE(Data!K1625), "  ")</f>
        <v xml:space="preserve">  </v>
      </c>
      <c r="L1623" s="45" t="str">
        <f>IFERROR(AVERAGE(Data!L1625), "  ")</f>
        <v xml:space="preserve">  </v>
      </c>
    </row>
    <row r="1624" spans="1:12" x14ac:dyDescent="0.2">
      <c r="A1624" s="43"/>
      <c r="B1624" s="42" t="str">
        <f>IFERROR(AVERAGE(Data!B1626), "  ")</f>
        <v xml:space="preserve">  </v>
      </c>
      <c r="C1624" s="42" t="str">
        <f>IFERROR(AVERAGE(Data!C1626), "  ")</f>
        <v xml:space="preserve">  </v>
      </c>
      <c r="D1624" s="42" t="str">
        <f>IFERROR(AVERAGE(Data!D1626), "  ")</f>
        <v xml:space="preserve">  </v>
      </c>
      <c r="E1624" s="42" t="str">
        <f>IFERROR(AVERAGE(Data!E1626), "  ")</f>
        <v xml:space="preserve">  </v>
      </c>
      <c r="F1624" s="42" t="str">
        <f>IFERROR(AVERAGE(Data!F1626), "  ")</f>
        <v xml:space="preserve">  </v>
      </c>
      <c r="G1624" s="42" t="str">
        <f>IFERROR(AVERAGE(Data!G1626), "  ")</f>
        <v xml:space="preserve">  </v>
      </c>
      <c r="H1624" s="44" t="str">
        <f>IFERROR(AVERAGE(Data!H1626), "  ")</f>
        <v xml:space="preserve">  </v>
      </c>
      <c r="I1624" s="44" t="str">
        <f>IFERROR(AVERAGE(Data!I1626), "  ")</f>
        <v xml:space="preserve">  </v>
      </c>
      <c r="J1624" s="42" t="str">
        <f>IFERROR(AVERAGE(Data!J1626), "  ")</f>
        <v xml:space="preserve">  </v>
      </c>
      <c r="K1624" s="44" t="str">
        <f>IFERROR(AVERAGE(Data!K1626), "  ")</f>
        <v xml:space="preserve">  </v>
      </c>
      <c r="L1624" s="45" t="str">
        <f>IFERROR(AVERAGE(Data!L1626), "  ")</f>
        <v xml:space="preserve">  </v>
      </c>
    </row>
    <row r="1625" spans="1:12" x14ac:dyDescent="0.2">
      <c r="A1625" s="43"/>
      <c r="B1625" s="42" t="str">
        <f>IFERROR(AVERAGE(Data!B1627), "  ")</f>
        <v xml:space="preserve">  </v>
      </c>
      <c r="C1625" s="42" t="str">
        <f>IFERROR(AVERAGE(Data!C1627), "  ")</f>
        <v xml:space="preserve">  </v>
      </c>
      <c r="D1625" s="42" t="str">
        <f>IFERROR(AVERAGE(Data!D1627), "  ")</f>
        <v xml:space="preserve">  </v>
      </c>
      <c r="E1625" s="42" t="str">
        <f>IFERROR(AVERAGE(Data!E1627), "  ")</f>
        <v xml:space="preserve">  </v>
      </c>
      <c r="F1625" s="42" t="str">
        <f>IFERROR(AVERAGE(Data!F1627), "  ")</f>
        <v xml:space="preserve">  </v>
      </c>
      <c r="G1625" s="42" t="str">
        <f>IFERROR(AVERAGE(Data!G1627), "  ")</f>
        <v xml:space="preserve">  </v>
      </c>
      <c r="H1625" s="44" t="str">
        <f>IFERROR(AVERAGE(Data!H1627), "  ")</f>
        <v xml:space="preserve">  </v>
      </c>
      <c r="I1625" s="44" t="str">
        <f>IFERROR(AVERAGE(Data!I1627), "  ")</f>
        <v xml:space="preserve">  </v>
      </c>
      <c r="J1625" s="42" t="str">
        <f>IFERROR(AVERAGE(Data!J1627), "  ")</f>
        <v xml:space="preserve">  </v>
      </c>
      <c r="K1625" s="44" t="str">
        <f>IFERROR(AVERAGE(Data!K1627), "  ")</f>
        <v xml:space="preserve">  </v>
      </c>
      <c r="L1625" s="45" t="str">
        <f>IFERROR(AVERAGE(Data!L1627), "  ")</f>
        <v xml:space="preserve">  </v>
      </c>
    </row>
    <row r="1626" spans="1:12" x14ac:dyDescent="0.2">
      <c r="A1626" s="43"/>
      <c r="B1626" s="42" t="str">
        <f>IFERROR(AVERAGE(Data!B1628), "  ")</f>
        <v xml:space="preserve">  </v>
      </c>
      <c r="C1626" s="42" t="str">
        <f>IFERROR(AVERAGE(Data!C1628), "  ")</f>
        <v xml:space="preserve">  </v>
      </c>
      <c r="D1626" s="42" t="str">
        <f>IFERROR(AVERAGE(Data!D1628), "  ")</f>
        <v xml:space="preserve">  </v>
      </c>
      <c r="E1626" s="42" t="str">
        <f>IFERROR(AVERAGE(Data!E1628), "  ")</f>
        <v xml:space="preserve">  </v>
      </c>
      <c r="F1626" s="42" t="str">
        <f>IFERROR(AVERAGE(Data!F1628), "  ")</f>
        <v xml:space="preserve">  </v>
      </c>
      <c r="G1626" s="42" t="str">
        <f>IFERROR(AVERAGE(Data!G1628), "  ")</f>
        <v xml:space="preserve">  </v>
      </c>
      <c r="H1626" s="44" t="str">
        <f>IFERROR(AVERAGE(Data!H1628), "  ")</f>
        <v xml:space="preserve">  </v>
      </c>
      <c r="I1626" s="44" t="str">
        <f>IFERROR(AVERAGE(Data!I1628), "  ")</f>
        <v xml:space="preserve">  </v>
      </c>
      <c r="J1626" s="42" t="str">
        <f>IFERROR(AVERAGE(Data!J1628), "  ")</f>
        <v xml:space="preserve">  </v>
      </c>
      <c r="K1626" s="44" t="str">
        <f>IFERROR(AVERAGE(Data!K1628), "  ")</f>
        <v xml:space="preserve">  </v>
      </c>
      <c r="L1626" s="45" t="str">
        <f>IFERROR(AVERAGE(Data!L1628), "  ")</f>
        <v xml:space="preserve">  </v>
      </c>
    </row>
    <row r="1627" spans="1:12" x14ac:dyDescent="0.2">
      <c r="A1627" s="43"/>
      <c r="B1627" s="42" t="str">
        <f>IFERROR(AVERAGE(Data!B1629), "  ")</f>
        <v xml:space="preserve">  </v>
      </c>
      <c r="C1627" s="42" t="str">
        <f>IFERROR(AVERAGE(Data!C1629), "  ")</f>
        <v xml:space="preserve">  </v>
      </c>
      <c r="D1627" s="42" t="str">
        <f>IFERROR(AVERAGE(Data!D1629), "  ")</f>
        <v xml:space="preserve">  </v>
      </c>
      <c r="E1627" s="42" t="str">
        <f>IFERROR(AVERAGE(Data!E1629), "  ")</f>
        <v xml:space="preserve">  </v>
      </c>
      <c r="F1627" s="42" t="str">
        <f>IFERROR(AVERAGE(Data!F1629), "  ")</f>
        <v xml:space="preserve">  </v>
      </c>
      <c r="G1627" s="42" t="str">
        <f>IFERROR(AVERAGE(Data!G1629), "  ")</f>
        <v xml:space="preserve">  </v>
      </c>
      <c r="H1627" s="44" t="str">
        <f>IFERROR(AVERAGE(Data!H1629), "  ")</f>
        <v xml:space="preserve">  </v>
      </c>
      <c r="I1627" s="44" t="str">
        <f>IFERROR(AVERAGE(Data!I1629), "  ")</f>
        <v xml:space="preserve">  </v>
      </c>
      <c r="J1627" s="42" t="str">
        <f>IFERROR(AVERAGE(Data!J1629), "  ")</f>
        <v xml:space="preserve">  </v>
      </c>
      <c r="K1627" s="44" t="str">
        <f>IFERROR(AVERAGE(Data!K1629), "  ")</f>
        <v xml:space="preserve">  </v>
      </c>
      <c r="L1627" s="45" t="str">
        <f>IFERROR(AVERAGE(Data!L1629), "  ")</f>
        <v xml:space="preserve">  </v>
      </c>
    </row>
    <row r="1628" spans="1:12" x14ac:dyDescent="0.2">
      <c r="A1628" s="43"/>
      <c r="B1628" s="42" t="str">
        <f>IFERROR(AVERAGE(Data!B1630), "  ")</f>
        <v xml:space="preserve">  </v>
      </c>
      <c r="C1628" s="42" t="str">
        <f>IFERROR(AVERAGE(Data!C1630), "  ")</f>
        <v xml:space="preserve">  </v>
      </c>
      <c r="D1628" s="42" t="str">
        <f>IFERROR(AVERAGE(Data!D1630), "  ")</f>
        <v xml:space="preserve">  </v>
      </c>
      <c r="E1628" s="42" t="str">
        <f>IFERROR(AVERAGE(Data!E1630), "  ")</f>
        <v xml:space="preserve">  </v>
      </c>
      <c r="F1628" s="42" t="str">
        <f>IFERROR(AVERAGE(Data!F1630), "  ")</f>
        <v xml:space="preserve">  </v>
      </c>
      <c r="G1628" s="42" t="str">
        <f>IFERROR(AVERAGE(Data!G1630), "  ")</f>
        <v xml:space="preserve">  </v>
      </c>
      <c r="H1628" s="44" t="str">
        <f>IFERROR(AVERAGE(Data!H1630), "  ")</f>
        <v xml:space="preserve">  </v>
      </c>
      <c r="I1628" s="44" t="str">
        <f>IFERROR(AVERAGE(Data!I1630), "  ")</f>
        <v xml:space="preserve">  </v>
      </c>
      <c r="J1628" s="42" t="str">
        <f>IFERROR(AVERAGE(Data!J1630), "  ")</f>
        <v xml:space="preserve">  </v>
      </c>
      <c r="K1628" s="44" t="str">
        <f>IFERROR(AVERAGE(Data!K1630), "  ")</f>
        <v xml:space="preserve">  </v>
      </c>
      <c r="L1628" s="45" t="str">
        <f>IFERROR(AVERAGE(Data!L1630), "  ")</f>
        <v xml:space="preserve">  </v>
      </c>
    </row>
    <row r="1629" spans="1:12" x14ac:dyDescent="0.2">
      <c r="A1629" s="43"/>
      <c r="B1629" s="42" t="str">
        <f>IFERROR(AVERAGE(Data!B1631), "  ")</f>
        <v xml:space="preserve">  </v>
      </c>
      <c r="C1629" s="42" t="str">
        <f>IFERROR(AVERAGE(Data!C1631), "  ")</f>
        <v xml:space="preserve">  </v>
      </c>
      <c r="D1629" s="42" t="str">
        <f>IFERROR(AVERAGE(Data!D1631), "  ")</f>
        <v xml:space="preserve">  </v>
      </c>
      <c r="E1629" s="42" t="str">
        <f>IFERROR(AVERAGE(Data!E1631), "  ")</f>
        <v xml:space="preserve">  </v>
      </c>
      <c r="F1629" s="42" t="str">
        <f>IFERROR(AVERAGE(Data!F1631), "  ")</f>
        <v xml:space="preserve">  </v>
      </c>
      <c r="G1629" s="42" t="str">
        <f>IFERROR(AVERAGE(Data!G1631), "  ")</f>
        <v xml:space="preserve">  </v>
      </c>
      <c r="H1629" s="44" t="str">
        <f>IFERROR(AVERAGE(Data!H1631), "  ")</f>
        <v xml:space="preserve">  </v>
      </c>
      <c r="I1629" s="44" t="str">
        <f>IFERROR(AVERAGE(Data!I1631), "  ")</f>
        <v xml:space="preserve">  </v>
      </c>
      <c r="J1629" s="42" t="str">
        <f>IFERROR(AVERAGE(Data!J1631), "  ")</f>
        <v xml:space="preserve">  </v>
      </c>
      <c r="K1629" s="44" t="str">
        <f>IFERROR(AVERAGE(Data!K1631), "  ")</f>
        <v xml:space="preserve">  </v>
      </c>
      <c r="L1629" s="45" t="str">
        <f>IFERROR(AVERAGE(Data!L1631), "  ")</f>
        <v xml:space="preserve">  </v>
      </c>
    </row>
    <row r="1630" spans="1:12" x14ac:dyDescent="0.2">
      <c r="A1630" s="43"/>
      <c r="B1630" s="42" t="str">
        <f>IFERROR(AVERAGE(Data!B1632), "  ")</f>
        <v xml:space="preserve">  </v>
      </c>
      <c r="C1630" s="42" t="str">
        <f>IFERROR(AVERAGE(Data!C1632), "  ")</f>
        <v xml:space="preserve">  </v>
      </c>
      <c r="D1630" s="42" t="str">
        <f>IFERROR(AVERAGE(Data!D1632), "  ")</f>
        <v xml:space="preserve">  </v>
      </c>
      <c r="E1630" s="42" t="str">
        <f>IFERROR(AVERAGE(Data!E1632), "  ")</f>
        <v xml:space="preserve">  </v>
      </c>
      <c r="F1630" s="42" t="str">
        <f>IFERROR(AVERAGE(Data!F1632), "  ")</f>
        <v xml:space="preserve">  </v>
      </c>
      <c r="G1630" s="42" t="str">
        <f>IFERROR(AVERAGE(Data!G1632), "  ")</f>
        <v xml:space="preserve">  </v>
      </c>
      <c r="H1630" s="44" t="str">
        <f>IFERROR(AVERAGE(Data!H1632), "  ")</f>
        <v xml:space="preserve">  </v>
      </c>
      <c r="I1630" s="44" t="str">
        <f>IFERROR(AVERAGE(Data!I1632), "  ")</f>
        <v xml:space="preserve">  </v>
      </c>
      <c r="J1630" s="42" t="str">
        <f>IFERROR(AVERAGE(Data!J1632), "  ")</f>
        <v xml:space="preserve">  </v>
      </c>
      <c r="K1630" s="44" t="str">
        <f>IFERROR(AVERAGE(Data!K1632), "  ")</f>
        <v xml:space="preserve">  </v>
      </c>
      <c r="L1630" s="45" t="str">
        <f>IFERROR(AVERAGE(Data!L1632), "  ")</f>
        <v xml:space="preserve">  </v>
      </c>
    </row>
    <row r="1631" spans="1:12" x14ac:dyDescent="0.2">
      <c r="A1631" s="43"/>
      <c r="B1631" s="42" t="str">
        <f>IFERROR(AVERAGE(Data!B1633), "  ")</f>
        <v xml:space="preserve">  </v>
      </c>
      <c r="C1631" s="42" t="str">
        <f>IFERROR(AVERAGE(Data!C1633), "  ")</f>
        <v xml:space="preserve">  </v>
      </c>
      <c r="D1631" s="42" t="str">
        <f>IFERROR(AVERAGE(Data!D1633), "  ")</f>
        <v xml:space="preserve">  </v>
      </c>
      <c r="E1631" s="42" t="str">
        <f>IFERROR(AVERAGE(Data!E1633), "  ")</f>
        <v xml:space="preserve">  </v>
      </c>
      <c r="F1631" s="42" t="str">
        <f>IFERROR(AVERAGE(Data!F1633), "  ")</f>
        <v xml:space="preserve">  </v>
      </c>
      <c r="G1631" s="42" t="str">
        <f>IFERROR(AVERAGE(Data!G1633), "  ")</f>
        <v xml:space="preserve">  </v>
      </c>
      <c r="H1631" s="44" t="str">
        <f>IFERROR(AVERAGE(Data!H1633), "  ")</f>
        <v xml:space="preserve">  </v>
      </c>
      <c r="I1631" s="44" t="str">
        <f>IFERROR(AVERAGE(Data!I1633), "  ")</f>
        <v xml:space="preserve">  </v>
      </c>
      <c r="J1631" s="42" t="str">
        <f>IFERROR(AVERAGE(Data!J1633), "  ")</f>
        <v xml:space="preserve">  </v>
      </c>
      <c r="K1631" s="44" t="str">
        <f>IFERROR(AVERAGE(Data!K1633), "  ")</f>
        <v xml:space="preserve">  </v>
      </c>
      <c r="L1631" s="45" t="str">
        <f>IFERROR(AVERAGE(Data!L1633), "  ")</f>
        <v xml:space="preserve">  </v>
      </c>
    </row>
    <row r="1632" spans="1:12" x14ac:dyDescent="0.2">
      <c r="A1632" s="43"/>
      <c r="B1632" s="42" t="str">
        <f>IFERROR(AVERAGE(Data!B1634), "  ")</f>
        <v xml:space="preserve">  </v>
      </c>
      <c r="C1632" s="42" t="str">
        <f>IFERROR(AVERAGE(Data!C1634), "  ")</f>
        <v xml:space="preserve">  </v>
      </c>
      <c r="D1632" s="42" t="str">
        <f>IFERROR(AVERAGE(Data!D1634), "  ")</f>
        <v xml:space="preserve">  </v>
      </c>
      <c r="E1632" s="42" t="str">
        <f>IFERROR(AVERAGE(Data!E1634), "  ")</f>
        <v xml:space="preserve">  </v>
      </c>
      <c r="F1632" s="42" t="str">
        <f>IFERROR(AVERAGE(Data!F1634), "  ")</f>
        <v xml:space="preserve">  </v>
      </c>
      <c r="G1632" s="42" t="str">
        <f>IFERROR(AVERAGE(Data!G1634), "  ")</f>
        <v xml:space="preserve">  </v>
      </c>
      <c r="H1632" s="44" t="str">
        <f>IFERROR(AVERAGE(Data!H1634), "  ")</f>
        <v xml:space="preserve">  </v>
      </c>
      <c r="I1632" s="44" t="str">
        <f>IFERROR(AVERAGE(Data!I1634), "  ")</f>
        <v xml:space="preserve">  </v>
      </c>
      <c r="J1632" s="42" t="str">
        <f>IFERROR(AVERAGE(Data!J1634), "  ")</f>
        <v xml:space="preserve">  </v>
      </c>
      <c r="K1632" s="44" t="str">
        <f>IFERROR(AVERAGE(Data!K1634), "  ")</f>
        <v xml:space="preserve">  </v>
      </c>
      <c r="L1632" s="45" t="str">
        <f>IFERROR(AVERAGE(Data!L1634), "  ")</f>
        <v xml:space="preserve">  </v>
      </c>
    </row>
    <row r="1633" spans="1:12" x14ac:dyDescent="0.2">
      <c r="A1633" s="43"/>
      <c r="B1633" s="42" t="str">
        <f>IFERROR(AVERAGE(Data!B1635), "  ")</f>
        <v xml:space="preserve">  </v>
      </c>
      <c r="C1633" s="42" t="str">
        <f>IFERROR(AVERAGE(Data!C1635), "  ")</f>
        <v xml:space="preserve">  </v>
      </c>
      <c r="D1633" s="42" t="str">
        <f>IFERROR(AVERAGE(Data!D1635), "  ")</f>
        <v xml:space="preserve">  </v>
      </c>
      <c r="E1633" s="42" t="str">
        <f>IFERROR(AVERAGE(Data!E1635), "  ")</f>
        <v xml:space="preserve">  </v>
      </c>
      <c r="F1633" s="42" t="str">
        <f>IFERROR(AVERAGE(Data!F1635), "  ")</f>
        <v xml:space="preserve">  </v>
      </c>
      <c r="G1633" s="42" t="str">
        <f>IFERROR(AVERAGE(Data!G1635), "  ")</f>
        <v xml:space="preserve">  </v>
      </c>
      <c r="H1633" s="44" t="str">
        <f>IFERROR(AVERAGE(Data!H1635), "  ")</f>
        <v xml:space="preserve">  </v>
      </c>
      <c r="I1633" s="44" t="str">
        <f>IFERROR(AVERAGE(Data!I1635), "  ")</f>
        <v xml:space="preserve">  </v>
      </c>
      <c r="J1633" s="42" t="str">
        <f>IFERROR(AVERAGE(Data!J1635), "  ")</f>
        <v xml:space="preserve">  </v>
      </c>
      <c r="K1633" s="44" t="str">
        <f>IFERROR(AVERAGE(Data!K1635), "  ")</f>
        <v xml:space="preserve">  </v>
      </c>
      <c r="L1633" s="45" t="str">
        <f>IFERROR(AVERAGE(Data!L1635), "  ")</f>
        <v xml:space="preserve">  </v>
      </c>
    </row>
    <row r="1634" spans="1:12" x14ac:dyDescent="0.2">
      <c r="A1634" s="43"/>
      <c r="B1634" s="42" t="str">
        <f>IFERROR(AVERAGE(Data!B1636), "  ")</f>
        <v xml:space="preserve">  </v>
      </c>
      <c r="C1634" s="42" t="str">
        <f>IFERROR(AVERAGE(Data!C1636), "  ")</f>
        <v xml:space="preserve">  </v>
      </c>
      <c r="D1634" s="42" t="str">
        <f>IFERROR(AVERAGE(Data!D1636), "  ")</f>
        <v xml:space="preserve">  </v>
      </c>
      <c r="E1634" s="42" t="str">
        <f>IFERROR(AVERAGE(Data!E1636), "  ")</f>
        <v xml:space="preserve">  </v>
      </c>
      <c r="F1634" s="42" t="str">
        <f>IFERROR(AVERAGE(Data!F1636), "  ")</f>
        <v xml:space="preserve">  </v>
      </c>
      <c r="G1634" s="42" t="str">
        <f>IFERROR(AVERAGE(Data!G1636), "  ")</f>
        <v xml:space="preserve">  </v>
      </c>
      <c r="H1634" s="44" t="str">
        <f>IFERROR(AVERAGE(Data!H1636), "  ")</f>
        <v xml:space="preserve">  </v>
      </c>
      <c r="I1634" s="44" t="str">
        <f>IFERROR(AVERAGE(Data!I1636), "  ")</f>
        <v xml:space="preserve">  </v>
      </c>
      <c r="J1634" s="42" t="str">
        <f>IFERROR(AVERAGE(Data!J1636), "  ")</f>
        <v xml:space="preserve">  </v>
      </c>
      <c r="K1634" s="44" t="str">
        <f>IFERROR(AVERAGE(Data!K1636), "  ")</f>
        <v xml:space="preserve">  </v>
      </c>
      <c r="L1634" s="45" t="str">
        <f>IFERROR(AVERAGE(Data!L1636), "  ")</f>
        <v xml:space="preserve">  </v>
      </c>
    </row>
    <row r="1635" spans="1:12" x14ac:dyDescent="0.2">
      <c r="A1635" s="43"/>
      <c r="B1635" s="42" t="str">
        <f>IFERROR(AVERAGE(Data!B1637), "  ")</f>
        <v xml:space="preserve">  </v>
      </c>
      <c r="C1635" s="42" t="str">
        <f>IFERROR(AVERAGE(Data!C1637), "  ")</f>
        <v xml:space="preserve">  </v>
      </c>
      <c r="D1635" s="42" t="str">
        <f>IFERROR(AVERAGE(Data!D1637), "  ")</f>
        <v xml:space="preserve">  </v>
      </c>
      <c r="E1635" s="42" t="str">
        <f>IFERROR(AVERAGE(Data!E1637), "  ")</f>
        <v xml:space="preserve">  </v>
      </c>
      <c r="F1635" s="42" t="str">
        <f>IFERROR(AVERAGE(Data!F1637), "  ")</f>
        <v xml:space="preserve">  </v>
      </c>
      <c r="G1635" s="42" t="str">
        <f>IFERROR(AVERAGE(Data!G1637), "  ")</f>
        <v xml:space="preserve">  </v>
      </c>
      <c r="H1635" s="44" t="str">
        <f>IFERROR(AVERAGE(Data!H1637), "  ")</f>
        <v xml:space="preserve">  </v>
      </c>
      <c r="I1635" s="44" t="str">
        <f>IFERROR(AVERAGE(Data!I1637), "  ")</f>
        <v xml:space="preserve">  </v>
      </c>
      <c r="J1635" s="42" t="str">
        <f>IFERROR(AVERAGE(Data!J1637), "  ")</f>
        <v xml:space="preserve">  </v>
      </c>
      <c r="K1635" s="44" t="str">
        <f>IFERROR(AVERAGE(Data!K1637), "  ")</f>
        <v xml:space="preserve">  </v>
      </c>
      <c r="L1635" s="45" t="str">
        <f>IFERROR(AVERAGE(Data!L1637), "  ")</f>
        <v xml:space="preserve">  </v>
      </c>
    </row>
    <row r="1636" spans="1:12" x14ac:dyDescent="0.2">
      <c r="A1636" s="43"/>
      <c r="B1636" s="42" t="str">
        <f>IFERROR(AVERAGE(Data!B1638), "  ")</f>
        <v xml:space="preserve">  </v>
      </c>
      <c r="C1636" s="42" t="str">
        <f>IFERROR(AVERAGE(Data!C1638), "  ")</f>
        <v xml:space="preserve">  </v>
      </c>
      <c r="D1636" s="42" t="str">
        <f>IFERROR(AVERAGE(Data!D1638), "  ")</f>
        <v xml:space="preserve">  </v>
      </c>
      <c r="E1636" s="42" t="str">
        <f>IFERROR(AVERAGE(Data!E1638), "  ")</f>
        <v xml:space="preserve">  </v>
      </c>
      <c r="F1636" s="42" t="str">
        <f>IFERROR(AVERAGE(Data!F1638), "  ")</f>
        <v xml:space="preserve">  </v>
      </c>
      <c r="G1636" s="42" t="str">
        <f>IFERROR(AVERAGE(Data!G1638), "  ")</f>
        <v xml:space="preserve">  </v>
      </c>
      <c r="H1636" s="44" t="str">
        <f>IFERROR(AVERAGE(Data!H1638), "  ")</f>
        <v xml:space="preserve">  </v>
      </c>
      <c r="I1636" s="44" t="str">
        <f>IFERROR(AVERAGE(Data!I1638), "  ")</f>
        <v xml:space="preserve">  </v>
      </c>
      <c r="J1636" s="42" t="str">
        <f>IFERROR(AVERAGE(Data!J1638), "  ")</f>
        <v xml:space="preserve">  </v>
      </c>
      <c r="K1636" s="44" t="str">
        <f>IFERROR(AVERAGE(Data!K1638), "  ")</f>
        <v xml:space="preserve">  </v>
      </c>
      <c r="L1636" s="45" t="str">
        <f>IFERROR(AVERAGE(Data!L1638), "  ")</f>
        <v xml:space="preserve">  </v>
      </c>
    </row>
    <row r="1637" spans="1:12" x14ac:dyDescent="0.2">
      <c r="A1637" s="43"/>
      <c r="B1637" s="42" t="str">
        <f>IFERROR(AVERAGE(Data!B1639), "  ")</f>
        <v xml:space="preserve">  </v>
      </c>
      <c r="C1637" s="42" t="str">
        <f>IFERROR(AVERAGE(Data!C1639), "  ")</f>
        <v xml:space="preserve">  </v>
      </c>
      <c r="D1637" s="42" t="str">
        <f>IFERROR(AVERAGE(Data!D1639), "  ")</f>
        <v xml:space="preserve">  </v>
      </c>
      <c r="E1637" s="42" t="str">
        <f>IFERROR(AVERAGE(Data!E1639), "  ")</f>
        <v xml:space="preserve">  </v>
      </c>
      <c r="F1637" s="42" t="str">
        <f>IFERROR(AVERAGE(Data!F1639), "  ")</f>
        <v xml:space="preserve">  </v>
      </c>
      <c r="G1637" s="42" t="str">
        <f>IFERROR(AVERAGE(Data!G1639), "  ")</f>
        <v xml:space="preserve">  </v>
      </c>
      <c r="H1637" s="44" t="str">
        <f>IFERROR(AVERAGE(Data!H1639), "  ")</f>
        <v xml:space="preserve">  </v>
      </c>
      <c r="I1637" s="44" t="str">
        <f>IFERROR(AVERAGE(Data!I1639), "  ")</f>
        <v xml:space="preserve">  </v>
      </c>
      <c r="J1637" s="42" t="str">
        <f>IFERROR(AVERAGE(Data!J1639), "  ")</f>
        <v xml:space="preserve">  </v>
      </c>
      <c r="K1637" s="44" t="str">
        <f>IFERROR(AVERAGE(Data!K1639), "  ")</f>
        <v xml:space="preserve">  </v>
      </c>
      <c r="L1637" s="45" t="str">
        <f>IFERROR(AVERAGE(Data!L1639), "  ")</f>
        <v xml:space="preserve">  </v>
      </c>
    </row>
    <row r="1638" spans="1:12" x14ac:dyDescent="0.2">
      <c r="A1638" s="43"/>
      <c r="B1638" s="42" t="str">
        <f>IFERROR(AVERAGE(Data!B1640), "  ")</f>
        <v xml:space="preserve">  </v>
      </c>
      <c r="C1638" s="42" t="str">
        <f>IFERROR(AVERAGE(Data!C1640), "  ")</f>
        <v xml:space="preserve">  </v>
      </c>
      <c r="D1638" s="42" t="str">
        <f>IFERROR(AVERAGE(Data!D1640), "  ")</f>
        <v xml:space="preserve">  </v>
      </c>
      <c r="E1638" s="42" t="str">
        <f>IFERROR(AVERAGE(Data!E1640), "  ")</f>
        <v xml:space="preserve">  </v>
      </c>
      <c r="F1638" s="42" t="str">
        <f>IFERROR(AVERAGE(Data!F1640), "  ")</f>
        <v xml:space="preserve">  </v>
      </c>
      <c r="G1638" s="42" t="str">
        <f>IFERROR(AVERAGE(Data!G1640), "  ")</f>
        <v xml:space="preserve">  </v>
      </c>
      <c r="H1638" s="44" t="str">
        <f>IFERROR(AVERAGE(Data!H1640), "  ")</f>
        <v xml:space="preserve">  </v>
      </c>
      <c r="I1638" s="44" t="str">
        <f>IFERROR(AVERAGE(Data!I1640), "  ")</f>
        <v xml:space="preserve">  </v>
      </c>
      <c r="J1638" s="42" t="str">
        <f>IFERROR(AVERAGE(Data!J1640), "  ")</f>
        <v xml:space="preserve">  </v>
      </c>
      <c r="K1638" s="44" t="str">
        <f>IFERROR(AVERAGE(Data!K1640), "  ")</f>
        <v xml:space="preserve">  </v>
      </c>
      <c r="L1638" s="45" t="str">
        <f>IFERROR(AVERAGE(Data!L1640), "  ")</f>
        <v xml:space="preserve">  </v>
      </c>
    </row>
    <row r="1639" spans="1:12" x14ac:dyDescent="0.2">
      <c r="A1639" s="43"/>
      <c r="B1639" s="42" t="str">
        <f>IFERROR(AVERAGE(Data!B1641), "  ")</f>
        <v xml:space="preserve">  </v>
      </c>
      <c r="C1639" s="42" t="str">
        <f>IFERROR(AVERAGE(Data!C1641), "  ")</f>
        <v xml:space="preserve">  </v>
      </c>
      <c r="D1639" s="42" t="str">
        <f>IFERROR(AVERAGE(Data!D1641), "  ")</f>
        <v xml:space="preserve">  </v>
      </c>
      <c r="E1639" s="42" t="str">
        <f>IFERROR(AVERAGE(Data!E1641), "  ")</f>
        <v xml:space="preserve">  </v>
      </c>
      <c r="F1639" s="42" t="str">
        <f>IFERROR(AVERAGE(Data!F1641), "  ")</f>
        <v xml:space="preserve">  </v>
      </c>
      <c r="G1639" s="42" t="str">
        <f>IFERROR(AVERAGE(Data!G1641), "  ")</f>
        <v xml:space="preserve">  </v>
      </c>
      <c r="H1639" s="44" t="str">
        <f>IFERROR(AVERAGE(Data!H1641), "  ")</f>
        <v xml:space="preserve">  </v>
      </c>
      <c r="I1639" s="44" t="str">
        <f>IFERROR(AVERAGE(Data!I1641), "  ")</f>
        <v xml:space="preserve">  </v>
      </c>
      <c r="J1639" s="42" t="str">
        <f>IFERROR(AVERAGE(Data!J1641), "  ")</f>
        <v xml:space="preserve">  </v>
      </c>
      <c r="K1639" s="44" t="str">
        <f>IFERROR(AVERAGE(Data!K1641), "  ")</f>
        <v xml:space="preserve">  </v>
      </c>
      <c r="L1639" s="45" t="str">
        <f>IFERROR(AVERAGE(Data!L1641), "  ")</f>
        <v xml:space="preserve">  </v>
      </c>
    </row>
    <row r="1640" spans="1:12" x14ac:dyDescent="0.2">
      <c r="A1640" s="43"/>
      <c r="B1640" s="42" t="str">
        <f>IFERROR(AVERAGE(Data!B1642), "  ")</f>
        <v xml:space="preserve">  </v>
      </c>
      <c r="C1640" s="42" t="str">
        <f>IFERROR(AVERAGE(Data!C1642), "  ")</f>
        <v xml:space="preserve">  </v>
      </c>
      <c r="D1640" s="42" t="str">
        <f>IFERROR(AVERAGE(Data!D1642), "  ")</f>
        <v xml:space="preserve">  </v>
      </c>
      <c r="E1640" s="42" t="str">
        <f>IFERROR(AVERAGE(Data!E1642), "  ")</f>
        <v xml:space="preserve">  </v>
      </c>
      <c r="F1640" s="42" t="str">
        <f>IFERROR(AVERAGE(Data!F1642), "  ")</f>
        <v xml:space="preserve">  </v>
      </c>
      <c r="G1640" s="42" t="str">
        <f>IFERROR(AVERAGE(Data!G1642), "  ")</f>
        <v xml:space="preserve">  </v>
      </c>
      <c r="H1640" s="44" t="str">
        <f>IFERROR(AVERAGE(Data!H1642), "  ")</f>
        <v xml:space="preserve">  </v>
      </c>
      <c r="I1640" s="44" t="str">
        <f>IFERROR(AVERAGE(Data!I1642), "  ")</f>
        <v xml:space="preserve">  </v>
      </c>
      <c r="J1640" s="42" t="str">
        <f>IFERROR(AVERAGE(Data!J1642), "  ")</f>
        <v xml:space="preserve">  </v>
      </c>
      <c r="K1640" s="44" t="str">
        <f>IFERROR(AVERAGE(Data!K1642), "  ")</f>
        <v xml:space="preserve">  </v>
      </c>
      <c r="L1640" s="45" t="str">
        <f>IFERROR(AVERAGE(Data!L1642), "  ")</f>
        <v xml:space="preserve">  </v>
      </c>
    </row>
    <row r="1641" spans="1:12" x14ac:dyDescent="0.2">
      <c r="A1641" s="43"/>
      <c r="B1641" s="42" t="str">
        <f>IFERROR(AVERAGE(Data!B1643), "  ")</f>
        <v xml:space="preserve">  </v>
      </c>
      <c r="C1641" s="42" t="str">
        <f>IFERROR(AVERAGE(Data!C1643), "  ")</f>
        <v xml:space="preserve">  </v>
      </c>
      <c r="D1641" s="42" t="str">
        <f>IFERROR(AVERAGE(Data!D1643), "  ")</f>
        <v xml:space="preserve">  </v>
      </c>
      <c r="E1641" s="42" t="str">
        <f>IFERROR(AVERAGE(Data!E1643), "  ")</f>
        <v xml:space="preserve">  </v>
      </c>
      <c r="F1641" s="42" t="str">
        <f>IFERROR(AVERAGE(Data!F1643), "  ")</f>
        <v xml:space="preserve">  </v>
      </c>
      <c r="G1641" s="42" t="str">
        <f>IFERROR(AVERAGE(Data!G1643), "  ")</f>
        <v xml:space="preserve">  </v>
      </c>
      <c r="H1641" s="44" t="str">
        <f>IFERROR(AVERAGE(Data!H1643), "  ")</f>
        <v xml:space="preserve">  </v>
      </c>
      <c r="I1641" s="44" t="str">
        <f>IFERROR(AVERAGE(Data!I1643), "  ")</f>
        <v xml:space="preserve">  </v>
      </c>
      <c r="J1641" s="42" t="str">
        <f>IFERROR(AVERAGE(Data!J1643), "  ")</f>
        <v xml:space="preserve">  </v>
      </c>
      <c r="K1641" s="44" t="str">
        <f>IFERROR(AVERAGE(Data!K1643), "  ")</f>
        <v xml:space="preserve">  </v>
      </c>
      <c r="L1641" s="45" t="str">
        <f>IFERROR(AVERAGE(Data!L1643), "  ")</f>
        <v xml:space="preserve">  </v>
      </c>
    </row>
    <row r="1642" spans="1:12" x14ac:dyDescent="0.2">
      <c r="A1642" s="43"/>
      <c r="B1642" s="42" t="str">
        <f>IFERROR(AVERAGE(Data!B1644), "  ")</f>
        <v xml:space="preserve">  </v>
      </c>
      <c r="C1642" s="42" t="str">
        <f>IFERROR(AVERAGE(Data!C1644), "  ")</f>
        <v xml:space="preserve">  </v>
      </c>
      <c r="D1642" s="42" t="str">
        <f>IFERROR(AVERAGE(Data!D1644), "  ")</f>
        <v xml:space="preserve">  </v>
      </c>
      <c r="E1642" s="42" t="str">
        <f>IFERROR(AVERAGE(Data!E1644), "  ")</f>
        <v xml:space="preserve">  </v>
      </c>
      <c r="F1642" s="42" t="str">
        <f>IFERROR(AVERAGE(Data!F1644), "  ")</f>
        <v xml:space="preserve">  </v>
      </c>
      <c r="G1642" s="42" t="str">
        <f>IFERROR(AVERAGE(Data!G1644), "  ")</f>
        <v xml:space="preserve">  </v>
      </c>
      <c r="H1642" s="44" t="str">
        <f>IFERROR(AVERAGE(Data!H1644), "  ")</f>
        <v xml:space="preserve">  </v>
      </c>
      <c r="I1642" s="44" t="str">
        <f>IFERROR(AVERAGE(Data!I1644), "  ")</f>
        <v xml:space="preserve">  </v>
      </c>
      <c r="J1642" s="42" t="str">
        <f>IFERROR(AVERAGE(Data!J1644), "  ")</f>
        <v xml:space="preserve">  </v>
      </c>
      <c r="K1642" s="44" t="str">
        <f>IFERROR(AVERAGE(Data!K1644), "  ")</f>
        <v xml:space="preserve">  </v>
      </c>
      <c r="L1642" s="45" t="str">
        <f>IFERROR(AVERAGE(Data!L1644), "  ")</f>
        <v xml:space="preserve">  </v>
      </c>
    </row>
    <row r="1643" spans="1:12" x14ac:dyDescent="0.2">
      <c r="A1643" s="43"/>
      <c r="B1643" s="42" t="str">
        <f>IFERROR(AVERAGE(Data!B1645), "  ")</f>
        <v xml:space="preserve">  </v>
      </c>
      <c r="C1643" s="42" t="str">
        <f>IFERROR(AVERAGE(Data!C1645), "  ")</f>
        <v xml:space="preserve">  </v>
      </c>
      <c r="D1643" s="42" t="str">
        <f>IFERROR(AVERAGE(Data!D1645), "  ")</f>
        <v xml:space="preserve">  </v>
      </c>
      <c r="E1643" s="42" t="str">
        <f>IFERROR(AVERAGE(Data!E1645), "  ")</f>
        <v xml:space="preserve">  </v>
      </c>
      <c r="F1643" s="42" t="str">
        <f>IFERROR(AVERAGE(Data!F1645), "  ")</f>
        <v xml:space="preserve">  </v>
      </c>
      <c r="G1643" s="42" t="str">
        <f>IFERROR(AVERAGE(Data!G1645), "  ")</f>
        <v xml:space="preserve">  </v>
      </c>
      <c r="H1643" s="44" t="str">
        <f>IFERROR(AVERAGE(Data!H1645), "  ")</f>
        <v xml:space="preserve">  </v>
      </c>
      <c r="I1643" s="44" t="str">
        <f>IFERROR(AVERAGE(Data!I1645), "  ")</f>
        <v xml:space="preserve">  </v>
      </c>
      <c r="J1643" s="42" t="str">
        <f>IFERROR(AVERAGE(Data!J1645), "  ")</f>
        <v xml:space="preserve">  </v>
      </c>
      <c r="K1643" s="44" t="str">
        <f>IFERROR(AVERAGE(Data!K1645), "  ")</f>
        <v xml:space="preserve">  </v>
      </c>
      <c r="L1643" s="45" t="str">
        <f>IFERROR(AVERAGE(Data!L1645), "  ")</f>
        <v xml:space="preserve">  </v>
      </c>
    </row>
    <row r="1644" spans="1:12" x14ac:dyDescent="0.2">
      <c r="A1644" s="43"/>
      <c r="B1644" s="42" t="str">
        <f>IFERROR(AVERAGE(Data!B1646), "  ")</f>
        <v xml:space="preserve">  </v>
      </c>
      <c r="C1644" s="42" t="str">
        <f>IFERROR(AVERAGE(Data!C1646), "  ")</f>
        <v xml:space="preserve">  </v>
      </c>
      <c r="D1644" s="42" t="str">
        <f>IFERROR(AVERAGE(Data!D1646), "  ")</f>
        <v xml:space="preserve">  </v>
      </c>
      <c r="E1644" s="42" t="str">
        <f>IFERROR(AVERAGE(Data!E1646), "  ")</f>
        <v xml:space="preserve">  </v>
      </c>
      <c r="F1644" s="42" t="str">
        <f>IFERROR(AVERAGE(Data!F1646), "  ")</f>
        <v xml:space="preserve">  </v>
      </c>
      <c r="G1644" s="42" t="str">
        <f>IFERROR(AVERAGE(Data!G1646), "  ")</f>
        <v xml:space="preserve">  </v>
      </c>
      <c r="H1644" s="44" t="str">
        <f>IFERROR(AVERAGE(Data!H1646), "  ")</f>
        <v xml:space="preserve">  </v>
      </c>
      <c r="I1644" s="44" t="str">
        <f>IFERROR(AVERAGE(Data!I1646), "  ")</f>
        <v xml:space="preserve">  </v>
      </c>
      <c r="J1644" s="42" t="str">
        <f>IFERROR(AVERAGE(Data!J1646), "  ")</f>
        <v xml:space="preserve">  </v>
      </c>
      <c r="K1644" s="44" t="str">
        <f>IFERROR(AVERAGE(Data!K1646), "  ")</f>
        <v xml:space="preserve">  </v>
      </c>
      <c r="L1644" s="45" t="str">
        <f>IFERROR(AVERAGE(Data!L1646), "  ")</f>
        <v xml:space="preserve">  </v>
      </c>
    </row>
    <row r="1645" spans="1:12" x14ac:dyDescent="0.2">
      <c r="A1645" s="43"/>
      <c r="B1645" s="42" t="str">
        <f>IFERROR(AVERAGE(Data!B1647), "  ")</f>
        <v xml:space="preserve">  </v>
      </c>
      <c r="C1645" s="42" t="str">
        <f>IFERROR(AVERAGE(Data!C1647), "  ")</f>
        <v xml:space="preserve">  </v>
      </c>
      <c r="D1645" s="42" t="str">
        <f>IFERROR(AVERAGE(Data!D1647), "  ")</f>
        <v xml:space="preserve">  </v>
      </c>
      <c r="E1645" s="42" t="str">
        <f>IFERROR(AVERAGE(Data!E1647), "  ")</f>
        <v xml:space="preserve">  </v>
      </c>
      <c r="F1645" s="42" t="str">
        <f>IFERROR(AVERAGE(Data!F1647), "  ")</f>
        <v xml:space="preserve">  </v>
      </c>
      <c r="G1645" s="42" t="str">
        <f>IFERROR(AVERAGE(Data!G1647), "  ")</f>
        <v xml:space="preserve">  </v>
      </c>
      <c r="H1645" s="44" t="str">
        <f>IFERROR(AVERAGE(Data!H1647), "  ")</f>
        <v xml:space="preserve">  </v>
      </c>
      <c r="I1645" s="44" t="str">
        <f>IFERROR(AVERAGE(Data!I1647), "  ")</f>
        <v xml:space="preserve">  </v>
      </c>
      <c r="J1645" s="42" t="str">
        <f>IFERROR(AVERAGE(Data!J1647), "  ")</f>
        <v xml:space="preserve">  </v>
      </c>
      <c r="K1645" s="44" t="str">
        <f>IFERROR(AVERAGE(Data!K1647), "  ")</f>
        <v xml:space="preserve">  </v>
      </c>
      <c r="L1645" s="45" t="str">
        <f>IFERROR(AVERAGE(Data!L1647), "  ")</f>
        <v xml:space="preserve">  </v>
      </c>
    </row>
    <row r="1646" spans="1:12" x14ac:dyDescent="0.2">
      <c r="A1646" s="43"/>
      <c r="B1646" s="42" t="str">
        <f>IFERROR(AVERAGE(Data!B1648), "  ")</f>
        <v xml:space="preserve">  </v>
      </c>
      <c r="C1646" s="42" t="str">
        <f>IFERROR(AVERAGE(Data!C1648), "  ")</f>
        <v xml:space="preserve">  </v>
      </c>
      <c r="D1646" s="42" t="str">
        <f>IFERROR(AVERAGE(Data!D1648), "  ")</f>
        <v xml:space="preserve">  </v>
      </c>
      <c r="E1646" s="42" t="str">
        <f>IFERROR(AVERAGE(Data!E1648), "  ")</f>
        <v xml:space="preserve">  </v>
      </c>
      <c r="F1646" s="42" t="str">
        <f>IFERROR(AVERAGE(Data!F1648), "  ")</f>
        <v xml:space="preserve">  </v>
      </c>
      <c r="G1646" s="42" t="str">
        <f>IFERROR(AVERAGE(Data!G1648), "  ")</f>
        <v xml:space="preserve">  </v>
      </c>
      <c r="H1646" s="44" t="str">
        <f>IFERROR(AVERAGE(Data!H1648), "  ")</f>
        <v xml:space="preserve">  </v>
      </c>
      <c r="I1646" s="44" t="str">
        <f>IFERROR(AVERAGE(Data!I1648), "  ")</f>
        <v xml:space="preserve">  </v>
      </c>
      <c r="J1646" s="42" t="str">
        <f>IFERROR(AVERAGE(Data!J1648), "  ")</f>
        <v xml:space="preserve">  </v>
      </c>
      <c r="K1646" s="44" t="str">
        <f>IFERROR(AVERAGE(Data!K1648), "  ")</f>
        <v xml:space="preserve">  </v>
      </c>
      <c r="L1646" s="45" t="str">
        <f>IFERROR(AVERAGE(Data!L1648), "  ")</f>
        <v xml:space="preserve">  </v>
      </c>
    </row>
    <row r="1647" spans="1:12" x14ac:dyDescent="0.2">
      <c r="A1647" s="43"/>
      <c r="B1647" s="42" t="str">
        <f>IFERROR(AVERAGE(Data!B1649), "  ")</f>
        <v xml:space="preserve">  </v>
      </c>
      <c r="C1647" s="42" t="str">
        <f>IFERROR(AVERAGE(Data!C1649), "  ")</f>
        <v xml:space="preserve">  </v>
      </c>
      <c r="D1647" s="42" t="str">
        <f>IFERROR(AVERAGE(Data!D1649), "  ")</f>
        <v xml:space="preserve">  </v>
      </c>
      <c r="E1647" s="42" t="str">
        <f>IFERROR(AVERAGE(Data!E1649), "  ")</f>
        <v xml:space="preserve">  </v>
      </c>
      <c r="F1647" s="42" t="str">
        <f>IFERROR(AVERAGE(Data!F1649), "  ")</f>
        <v xml:space="preserve">  </v>
      </c>
      <c r="G1647" s="42" t="str">
        <f>IFERROR(AVERAGE(Data!G1649), "  ")</f>
        <v xml:space="preserve">  </v>
      </c>
      <c r="H1647" s="44" t="str">
        <f>IFERROR(AVERAGE(Data!H1649), "  ")</f>
        <v xml:space="preserve">  </v>
      </c>
      <c r="I1647" s="44" t="str">
        <f>IFERROR(AVERAGE(Data!I1649), "  ")</f>
        <v xml:space="preserve">  </v>
      </c>
      <c r="J1647" s="42" t="str">
        <f>IFERROR(AVERAGE(Data!J1649), "  ")</f>
        <v xml:space="preserve">  </v>
      </c>
      <c r="K1647" s="44" t="str">
        <f>IFERROR(AVERAGE(Data!K1649), "  ")</f>
        <v xml:space="preserve">  </v>
      </c>
      <c r="L1647" s="45" t="str">
        <f>IFERROR(AVERAGE(Data!L1649), "  ")</f>
        <v xml:space="preserve">  </v>
      </c>
    </row>
    <row r="1648" spans="1:12" x14ac:dyDescent="0.2">
      <c r="A1648" s="43"/>
      <c r="B1648" s="42" t="str">
        <f>IFERROR(AVERAGE(Data!B1650), "  ")</f>
        <v xml:space="preserve">  </v>
      </c>
      <c r="C1648" s="42" t="str">
        <f>IFERROR(AVERAGE(Data!C1650), "  ")</f>
        <v xml:space="preserve">  </v>
      </c>
      <c r="D1648" s="42" t="str">
        <f>IFERROR(AVERAGE(Data!D1650), "  ")</f>
        <v xml:space="preserve">  </v>
      </c>
      <c r="E1648" s="42" t="str">
        <f>IFERROR(AVERAGE(Data!E1650), "  ")</f>
        <v xml:space="preserve">  </v>
      </c>
      <c r="F1648" s="42" t="str">
        <f>IFERROR(AVERAGE(Data!F1650), "  ")</f>
        <v xml:space="preserve">  </v>
      </c>
      <c r="G1648" s="42" t="str">
        <f>IFERROR(AVERAGE(Data!G1650), "  ")</f>
        <v xml:space="preserve">  </v>
      </c>
      <c r="H1648" s="44" t="str">
        <f>IFERROR(AVERAGE(Data!H1650), "  ")</f>
        <v xml:space="preserve">  </v>
      </c>
      <c r="I1648" s="44" t="str">
        <f>IFERROR(AVERAGE(Data!I1650), "  ")</f>
        <v xml:space="preserve">  </v>
      </c>
      <c r="J1648" s="42" t="str">
        <f>IFERROR(AVERAGE(Data!J1650), "  ")</f>
        <v xml:space="preserve">  </v>
      </c>
      <c r="K1648" s="44" t="str">
        <f>IFERROR(AVERAGE(Data!K1650), "  ")</f>
        <v xml:space="preserve">  </v>
      </c>
      <c r="L1648" s="45" t="str">
        <f>IFERROR(AVERAGE(Data!L1650), "  ")</f>
        <v xml:space="preserve">  </v>
      </c>
    </row>
    <row r="1649" spans="1:12" x14ac:dyDescent="0.2">
      <c r="A1649" s="43"/>
      <c r="B1649" s="42" t="str">
        <f>IFERROR(AVERAGE(Data!B1651), "  ")</f>
        <v xml:space="preserve">  </v>
      </c>
      <c r="C1649" s="42" t="str">
        <f>IFERROR(AVERAGE(Data!C1651), "  ")</f>
        <v xml:space="preserve">  </v>
      </c>
      <c r="D1649" s="42" t="str">
        <f>IFERROR(AVERAGE(Data!D1651), "  ")</f>
        <v xml:space="preserve">  </v>
      </c>
      <c r="E1649" s="42" t="str">
        <f>IFERROR(AVERAGE(Data!E1651), "  ")</f>
        <v xml:space="preserve">  </v>
      </c>
      <c r="F1649" s="42" t="str">
        <f>IFERROR(AVERAGE(Data!F1651), "  ")</f>
        <v xml:space="preserve">  </v>
      </c>
      <c r="G1649" s="42" t="str">
        <f>IFERROR(AVERAGE(Data!G1651), "  ")</f>
        <v xml:space="preserve">  </v>
      </c>
      <c r="H1649" s="44" t="str">
        <f>IFERROR(AVERAGE(Data!H1651), "  ")</f>
        <v xml:space="preserve">  </v>
      </c>
      <c r="I1649" s="44" t="str">
        <f>IFERROR(AVERAGE(Data!I1651), "  ")</f>
        <v xml:space="preserve">  </v>
      </c>
      <c r="J1649" s="42" t="str">
        <f>IFERROR(AVERAGE(Data!J1651), "  ")</f>
        <v xml:space="preserve">  </v>
      </c>
      <c r="K1649" s="44" t="str">
        <f>IFERROR(AVERAGE(Data!K1651), "  ")</f>
        <v xml:space="preserve">  </v>
      </c>
      <c r="L1649" s="45" t="str">
        <f>IFERROR(AVERAGE(Data!L1651), "  ")</f>
        <v xml:space="preserve">  </v>
      </c>
    </row>
    <row r="1650" spans="1:12" x14ac:dyDescent="0.2">
      <c r="A1650" s="43"/>
      <c r="B1650" s="42" t="str">
        <f>IFERROR(AVERAGE(Data!B1652), "  ")</f>
        <v xml:space="preserve">  </v>
      </c>
      <c r="C1650" s="42" t="str">
        <f>IFERROR(AVERAGE(Data!C1652), "  ")</f>
        <v xml:space="preserve">  </v>
      </c>
      <c r="D1650" s="42" t="str">
        <f>IFERROR(AVERAGE(Data!D1652), "  ")</f>
        <v xml:space="preserve">  </v>
      </c>
      <c r="E1650" s="42" t="str">
        <f>IFERROR(AVERAGE(Data!E1652), "  ")</f>
        <v xml:space="preserve">  </v>
      </c>
      <c r="F1650" s="42" t="str">
        <f>IFERROR(AVERAGE(Data!F1652), "  ")</f>
        <v xml:space="preserve">  </v>
      </c>
      <c r="G1650" s="42" t="str">
        <f>IFERROR(AVERAGE(Data!G1652), "  ")</f>
        <v xml:space="preserve">  </v>
      </c>
      <c r="H1650" s="44" t="str">
        <f>IFERROR(AVERAGE(Data!H1652), "  ")</f>
        <v xml:space="preserve">  </v>
      </c>
      <c r="I1650" s="44" t="str">
        <f>IFERROR(AVERAGE(Data!I1652), "  ")</f>
        <v xml:space="preserve">  </v>
      </c>
      <c r="J1650" s="42" t="str">
        <f>IFERROR(AVERAGE(Data!J1652), "  ")</f>
        <v xml:space="preserve">  </v>
      </c>
      <c r="K1650" s="44" t="str">
        <f>IFERROR(AVERAGE(Data!K1652), "  ")</f>
        <v xml:space="preserve">  </v>
      </c>
      <c r="L1650" s="45" t="str">
        <f>IFERROR(AVERAGE(Data!L1652), "  ")</f>
        <v xml:space="preserve">  </v>
      </c>
    </row>
    <row r="1651" spans="1:12" x14ac:dyDescent="0.2">
      <c r="A1651" s="43"/>
      <c r="B1651" s="42" t="str">
        <f>IFERROR(AVERAGE(Data!B1653), "  ")</f>
        <v xml:space="preserve">  </v>
      </c>
      <c r="C1651" s="42" t="str">
        <f>IFERROR(AVERAGE(Data!C1653), "  ")</f>
        <v xml:space="preserve">  </v>
      </c>
      <c r="D1651" s="42" t="str">
        <f>IFERROR(AVERAGE(Data!D1653), "  ")</f>
        <v xml:space="preserve">  </v>
      </c>
      <c r="E1651" s="42" t="str">
        <f>IFERROR(AVERAGE(Data!E1653), "  ")</f>
        <v xml:space="preserve">  </v>
      </c>
      <c r="F1651" s="42" t="str">
        <f>IFERROR(AVERAGE(Data!F1653), "  ")</f>
        <v xml:space="preserve">  </v>
      </c>
      <c r="G1651" s="42" t="str">
        <f>IFERROR(AVERAGE(Data!G1653), "  ")</f>
        <v xml:space="preserve">  </v>
      </c>
      <c r="H1651" s="44" t="str">
        <f>IFERROR(AVERAGE(Data!H1653), "  ")</f>
        <v xml:space="preserve">  </v>
      </c>
      <c r="I1651" s="44" t="str">
        <f>IFERROR(AVERAGE(Data!I1653), "  ")</f>
        <v xml:space="preserve">  </v>
      </c>
      <c r="J1651" s="42" t="str">
        <f>IFERROR(AVERAGE(Data!J1653), "  ")</f>
        <v xml:space="preserve">  </v>
      </c>
      <c r="K1651" s="44" t="str">
        <f>IFERROR(AVERAGE(Data!K1653), "  ")</f>
        <v xml:space="preserve">  </v>
      </c>
      <c r="L1651" s="45" t="str">
        <f>IFERROR(AVERAGE(Data!L1653), "  ")</f>
        <v xml:space="preserve">  </v>
      </c>
    </row>
    <row r="1652" spans="1:12" x14ac:dyDescent="0.2">
      <c r="A1652" s="43"/>
      <c r="B1652" s="42" t="str">
        <f>IFERROR(AVERAGE(Data!B1654), "  ")</f>
        <v xml:space="preserve">  </v>
      </c>
      <c r="C1652" s="42" t="str">
        <f>IFERROR(AVERAGE(Data!C1654), "  ")</f>
        <v xml:space="preserve">  </v>
      </c>
      <c r="D1652" s="42" t="str">
        <f>IFERROR(AVERAGE(Data!D1654), "  ")</f>
        <v xml:space="preserve">  </v>
      </c>
      <c r="E1652" s="42" t="str">
        <f>IFERROR(AVERAGE(Data!E1654), "  ")</f>
        <v xml:space="preserve">  </v>
      </c>
      <c r="F1652" s="42" t="str">
        <f>IFERROR(AVERAGE(Data!F1654), "  ")</f>
        <v xml:space="preserve">  </v>
      </c>
      <c r="G1652" s="42" t="str">
        <f>IFERROR(AVERAGE(Data!G1654), "  ")</f>
        <v xml:space="preserve">  </v>
      </c>
      <c r="H1652" s="44" t="str">
        <f>IFERROR(AVERAGE(Data!H1654), "  ")</f>
        <v xml:space="preserve">  </v>
      </c>
      <c r="I1652" s="44" t="str">
        <f>IFERROR(AVERAGE(Data!I1654), "  ")</f>
        <v xml:space="preserve">  </v>
      </c>
      <c r="J1652" s="42" t="str">
        <f>IFERROR(AVERAGE(Data!J1654), "  ")</f>
        <v xml:space="preserve">  </v>
      </c>
      <c r="K1652" s="44" t="str">
        <f>IFERROR(AVERAGE(Data!K1654), "  ")</f>
        <v xml:space="preserve">  </v>
      </c>
      <c r="L1652" s="45" t="str">
        <f>IFERROR(AVERAGE(Data!L1654), "  ")</f>
        <v xml:space="preserve">  </v>
      </c>
    </row>
    <row r="1653" spans="1:12" x14ac:dyDescent="0.2">
      <c r="A1653" s="43"/>
      <c r="B1653" s="42" t="str">
        <f>IFERROR(AVERAGE(Data!B1655), "  ")</f>
        <v xml:space="preserve">  </v>
      </c>
      <c r="C1653" s="42" t="str">
        <f>IFERROR(AVERAGE(Data!C1655), "  ")</f>
        <v xml:space="preserve">  </v>
      </c>
      <c r="D1653" s="42" t="str">
        <f>IFERROR(AVERAGE(Data!D1655), "  ")</f>
        <v xml:space="preserve">  </v>
      </c>
      <c r="E1653" s="42" t="str">
        <f>IFERROR(AVERAGE(Data!E1655), "  ")</f>
        <v xml:space="preserve">  </v>
      </c>
      <c r="F1653" s="42" t="str">
        <f>IFERROR(AVERAGE(Data!F1655), "  ")</f>
        <v xml:space="preserve">  </v>
      </c>
      <c r="G1653" s="42" t="str">
        <f>IFERROR(AVERAGE(Data!G1655), "  ")</f>
        <v xml:space="preserve">  </v>
      </c>
      <c r="H1653" s="44" t="str">
        <f>IFERROR(AVERAGE(Data!H1655), "  ")</f>
        <v xml:space="preserve">  </v>
      </c>
      <c r="I1653" s="44" t="str">
        <f>IFERROR(AVERAGE(Data!I1655), "  ")</f>
        <v xml:space="preserve">  </v>
      </c>
      <c r="J1653" s="42" t="str">
        <f>IFERROR(AVERAGE(Data!J1655), "  ")</f>
        <v xml:space="preserve">  </v>
      </c>
      <c r="K1653" s="44" t="str">
        <f>IFERROR(AVERAGE(Data!K1655), "  ")</f>
        <v xml:space="preserve">  </v>
      </c>
      <c r="L1653" s="45" t="str">
        <f>IFERROR(AVERAGE(Data!L1655), "  ")</f>
        <v xml:space="preserve">  </v>
      </c>
    </row>
    <row r="1654" spans="1:12" x14ac:dyDescent="0.2">
      <c r="A1654" s="43"/>
      <c r="B1654" s="42" t="str">
        <f>IFERROR(AVERAGE(Data!B1656), "  ")</f>
        <v xml:space="preserve">  </v>
      </c>
      <c r="C1654" s="42" t="str">
        <f>IFERROR(AVERAGE(Data!C1656), "  ")</f>
        <v xml:space="preserve">  </v>
      </c>
      <c r="D1654" s="42" t="str">
        <f>IFERROR(AVERAGE(Data!D1656), "  ")</f>
        <v xml:space="preserve">  </v>
      </c>
      <c r="E1654" s="42" t="str">
        <f>IFERROR(AVERAGE(Data!E1656), "  ")</f>
        <v xml:space="preserve">  </v>
      </c>
      <c r="F1654" s="42" t="str">
        <f>IFERROR(AVERAGE(Data!F1656), "  ")</f>
        <v xml:space="preserve">  </v>
      </c>
      <c r="G1654" s="42" t="str">
        <f>IFERROR(AVERAGE(Data!G1656), "  ")</f>
        <v xml:space="preserve">  </v>
      </c>
      <c r="H1654" s="44" t="str">
        <f>IFERROR(AVERAGE(Data!H1656), "  ")</f>
        <v xml:space="preserve">  </v>
      </c>
      <c r="I1654" s="44" t="str">
        <f>IFERROR(AVERAGE(Data!I1656), "  ")</f>
        <v xml:space="preserve">  </v>
      </c>
      <c r="J1654" s="42" t="str">
        <f>IFERROR(AVERAGE(Data!J1656), "  ")</f>
        <v xml:space="preserve">  </v>
      </c>
      <c r="K1654" s="44" t="str">
        <f>IFERROR(AVERAGE(Data!K1656), "  ")</f>
        <v xml:space="preserve">  </v>
      </c>
      <c r="L1654" s="45" t="str">
        <f>IFERROR(AVERAGE(Data!L1656), "  ")</f>
        <v xml:space="preserve">  </v>
      </c>
    </row>
    <row r="1655" spans="1:12" x14ac:dyDescent="0.2">
      <c r="A1655" s="43"/>
      <c r="B1655" s="42" t="str">
        <f>IFERROR(AVERAGE(Data!B1657), "  ")</f>
        <v xml:space="preserve">  </v>
      </c>
      <c r="C1655" s="42" t="str">
        <f>IFERROR(AVERAGE(Data!C1657), "  ")</f>
        <v xml:space="preserve">  </v>
      </c>
      <c r="D1655" s="42" t="str">
        <f>IFERROR(AVERAGE(Data!D1657), "  ")</f>
        <v xml:space="preserve">  </v>
      </c>
      <c r="E1655" s="42" t="str">
        <f>IFERROR(AVERAGE(Data!E1657), "  ")</f>
        <v xml:space="preserve">  </v>
      </c>
      <c r="F1655" s="42" t="str">
        <f>IFERROR(AVERAGE(Data!F1657), "  ")</f>
        <v xml:space="preserve">  </v>
      </c>
      <c r="G1655" s="42" t="str">
        <f>IFERROR(AVERAGE(Data!G1657), "  ")</f>
        <v xml:space="preserve">  </v>
      </c>
      <c r="H1655" s="44" t="str">
        <f>IFERROR(AVERAGE(Data!H1657), "  ")</f>
        <v xml:space="preserve">  </v>
      </c>
      <c r="I1655" s="44" t="str">
        <f>IFERROR(AVERAGE(Data!I1657), "  ")</f>
        <v xml:space="preserve">  </v>
      </c>
      <c r="J1655" s="42" t="str">
        <f>IFERROR(AVERAGE(Data!J1657), "  ")</f>
        <v xml:space="preserve">  </v>
      </c>
      <c r="K1655" s="44" t="str">
        <f>IFERROR(AVERAGE(Data!K1657), "  ")</f>
        <v xml:space="preserve">  </v>
      </c>
      <c r="L1655" s="45" t="str">
        <f>IFERROR(AVERAGE(Data!L1657), "  ")</f>
        <v xml:space="preserve">  </v>
      </c>
    </row>
    <row r="1656" spans="1:12" x14ac:dyDescent="0.2">
      <c r="A1656" s="43"/>
      <c r="B1656" s="42" t="str">
        <f>IFERROR(AVERAGE(Data!B1658), "  ")</f>
        <v xml:space="preserve">  </v>
      </c>
      <c r="C1656" s="42" t="str">
        <f>IFERROR(AVERAGE(Data!C1658), "  ")</f>
        <v xml:space="preserve">  </v>
      </c>
      <c r="D1656" s="42" t="str">
        <f>IFERROR(AVERAGE(Data!D1658), "  ")</f>
        <v xml:space="preserve">  </v>
      </c>
      <c r="E1656" s="42" t="str">
        <f>IFERROR(AVERAGE(Data!E1658), "  ")</f>
        <v xml:space="preserve">  </v>
      </c>
      <c r="F1656" s="42" t="str">
        <f>IFERROR(AVERAGE(Data!F1658), "  ")</f>
        <v xml:space="preserve">  </v>
      </c>
      <c r="G1656" s="42" t="str">
        <f>IFERROR(AVERAGE(Data!G1658), "  ")</f>
        <v xml:space="preserve">  </v>
      </c>
      <c r="H1656" s="44" t="str">
        <f>IFERROR(AVERAGE(Data!H1658), "  ")</f>
        <v xml:space="preserve">  </v>
      </c>
      <c r="I1656" s="44" t="str">
        <f>IFERROR(AVERAGE(Data!I1658), "  ")</f>
        <v xml:space="preserve">  </v>
      </c>
      <c r="J1656" s="42" t="str">
        <f>IFERROR(AVERAGE(Data!J1658), "  ")</f>
        <v xml:space="preserve">  </v>
      </c>
      <c r="K1656" s="44" t="str">
        <f>IFERROR(AVERAGE(Data!K1658), "  ")</f>
        <v xml:space="preserve">  </v>
      </c>
      <c r="L1656" s="45" t="str">
        <f>IFERROR(AVERAGE(Data!L1658), "  ")</f>
        <v xml:space="preserve">  </v>
      </c>
    </row>
    <row r="1657" spans="1:12" x14ac:dyDescent="0.2">
      <c r="A1657" s="43"/>
      <c r="B1657" s="42" t="str">
        <f>IFERROR(AVERAGE(Data!B1659), "  ")</f>
        <v xml:space="preserve">  </v>
      </c>
      <c r="C1657" s="42" t="str">
        <f>IFERROR(AVERAGE(Data!C1659), "  ")</f>
        <v xml:space="preserve">  </v>
      </c>
      <c r="D1657" s="42" t="str">
        <f>IFERROR(AVERAGE(Data!D1659), "  ")</f>
        <v xml:space="preserve">  </v>
      </c>
      <c r="E1657" s="42" t="str">
        <f>IFERROR(AVERAGE(Data!E1659), "  ")</f>
        <v xml:space="preserve">  </v>
      </c>
      <c r="F1657" s="42" t="str">
        <f>IFERROR(AVERAGE(Data!F1659), "  ")</f>
        <v xml:space="preserve">  </v>
      </c>
      <c r="G1657" s="42" t="str">
        <f>IFERROR(AVERAGE(Data!G1659), "  ")</f>
        <v xml:space="preserve">  </v>
      </c>
      <c r="H1657" s="44" t="str">
        <f>IFERROR(AVERAGE(Data!H1659), "  ")</f>
        <v xml:space="preserve">  </v>
      </c>
      <c r="I1657" s="44" t="str">
        <f>IFERROR(AVERAGE(Data!I1659), "  ")</f>
        <v xml:space="preserve">  </v>
      </c>
      <c r="J1657" s="42" t="str">
        <f>IFERROR(AVERAGE(Data!J1659), "  ")</f>
        <v xml:space="preserve">  </v>
      </c>
      <c r="K1657" s="44" t="str">
        <f>IFERROR(AVERAGE(Data!K1659), "  ")</f>
        <v xml:space="preserve">  </v>
      </c>
      <c r="L1657" s="45" t="str">
        <f>IFERROR(AVERAGE(Data!L1659), "  ")</f>
        <v xml:space="preserve">  </v>
      </c>
    </row>
    <row r="1658" spans="1:12" x14ac:dyDescent="0.2">
      <c r="A1658" s="43"/>
      <c r="B1658" s="42" t="str">
        <f>IFERROR(AVERAGE(Data!B1660), "  ")</f>
        <v xml:space="preserve">  </v>
      </c>
      <c r="C1658" s="42" t="str">
        <f>IFERROR(AVERAGE(Data!C1660), "  ")</f>
        <v xml:space="preserve">  </v>
      </c>
      <c r="D1658" s="42" t="str">
        <f>IFERROR(AVERAGE(Data!D1660), "  ")</f>
        <v xml:space="preserve">  </v>
      </c>
      <c r="E1658" s="42" t="str">
        <f>IFERROR(AVERAGE(Data!E1660), "  ")</f>
        <v xml:space="preserve">  </v>
      </c>
      <c r="F1658" s="42" t="str">
        <f>IFERROR(AVERAGE(Data!F1660), "  ")</f>
        <v xml:space="preserve">  </v>
      </c>
      <c r="G1658" s="42" t="str">
        <f>IFERROR(AVERAGE(Data!G1660), "  ")</f>
        <v xml:space="preserve">  </v>
      </c>
      <c r="H1658" s="44" t="str">
        <f>IFERROR(AVERAGE(Data!H1660), "  ")</f>
        <v xml:space="preserve">  </v>
      </c>
      <c r="I1658" s="44" t="str">
        <f>IFERROR(AVERAGE(Data!I1660), "  ")</f>
        <v xml:space="preserve">  </v>
      </c>
      <c r="J1658" s="42" t="str">
        <f>IFERROR(AVERAGE(Data!J1660), "  ")</f>
        <v xml:space="preserve">  </v>
      </c>
      <c r="K1658" s="44" t="str">
        <f>IFERROR(AVERAGE(Data!K1660), "  ")</f>
        <v xml:space="preserve">  </v>
      </c>
      <c r="L1658" s="45" t="str">
        <f>IFERROR(AVERAGE(Data!L1660), "  ")</f>
        <v xml:space="preserve">  </v>
      </c>
    </row>
    <row r="1659" spans="1:12" x14ac:dyDescent="0.2">
      <c r="A1659" s="43"/>
      <c r="B1659" s="42" t="str">
        <f>IFERROR(AVERAGE(Data!B1661), "  ")</f>
        <v xml:space="preserve">  </v>
      </c>
      <c r="C1659" s="42" t="str">
        <f>IFERROR(AVERAGE(Data!C1661), "  ")</f>
        <v xml:space="preserve">  </v>
      </c>
      <c r="D1659" s="42" t="str">
        <f>IFERROR(AVERAGE(Data!D1661), "  ")</f>
        <v xml:space="preserve">  </v>
      </c>
      <c r="E1659" s="42" t="str">
        <f>IFERROR(AVERAGE(Data!E1661), "  ")</f>
        <v xml:space="preserve">  </v>
      </c>
      <c r="F1659" s="42" t="str">
        <f>IFERROR(AVERAGE(Data!F1661), "  ")</f>
        <v xml:space="preserve">  </v>
      </c>
      <c r="G1659" s="42" t="str">
        <f>IFERROR(AVERAGE(Data!G1661), "  ")</f>
        <v xml:space="preserve">  </v>
      </c>
      <c r="H1659" s="44" t="str">
        <f>IFERROR(AVERAGE(Data!H1661), "  ")</f>
        <v xml:space="preserve">  </v>
      </c>
      <c r="I1659" s="44" t="str">
        <f>IFERROR(AVERAGE(Data!I1661), "  ")</f>
        <v xml:space="preserve">  </v>
      </c>
      <c r="J1659" s="42" t="str">
        <f>IFERROR(AVERAGE(Data!J1661), "  ")</f>
        <v xml:space="preserve">  </v>
      </c>
      <c r="K1659" s="44" t="str">
        <f>IFERROR(AVERAGE(Data!K1661), "  ")</f>
        <v xml:space="preserve">  </v>
      </c>
      <c r="L1659" s="45" t="str">
        <f>IFERROR(AVERAGE(Data!L1661), "  ")</f>
        <v xml:space="preserve">  </v>
      </c>
    </row>
    <row r="1660" spans="1:12" x14ac:dyDescent="0.2">
      <c r="A1660" s="43"/>
      <c r="B1660" s="42" t="str">
        <f>IFERROR(AVERAGE(Data!B1662), "  ")</f>
        <v xml:space="preserve">  </v>
      </c>
      <c r="C1660" s="42" t="str">
        <f>IFERROR(AVERAGE(Data!C1662), "  ")</f>
        <v xml:space="preserve">  </v>
      </c>
      <c r="D1660" s="42" t="str">
        <f>IFERROR(AVERAGE(Data!D1662), "  ")</f>
        <v xml:space="preserve">  </v>
      </c>
      <c r="E1660" s="42" t="str">
        <f>IFERROR(AVERAGE(Data!E1662), "  ")</f>
        <v xml:space="preserve">  </v>
      </c>
      <c r="F1660" s="42" t="str">
        <f>IFERROR(AVERAGE(Data!F1662), "  ")</f>
        <v xml:space="preserve">  </v>
      </c>
      <c r="G1660" s="42" t="str">
        <f>IFERROR(AVERAGE(Data!G1662), "  ")</f>
        <v xml:space="preserve">  </v>
      </c>
      <c r="H1660" s="44" t="str">
        <f>IFERROR(AVERAGE(Data!H1662), "  ")</f>
        <v xml:space="preserve">  </v>
      </c>
      <c r="I1660" s="44" t="str">
        <f>IFERROR(AVERAGE(Data!I1662), "  ")</f>
        <v xml:space="preserve">  </v>
      </c>
      <c r="J1660" s="42" t="str">
        <f>IFERROR(AVERAGE(Data!J1662), "  ")</f>
        <v xml:space="preserve">  </v>
      </c>
      <c r="K1660" s="44" t="str">
        <f>IFERROR(AVERAGE(Data!K1662), "  ")</f>
        <v xml:space="preserve">  </v>
      </c>
      <c r="L1660" s="45" t="str">
        <f>IFERROR(AVERAGE(Data!L1662), "  ")</f>
        <v xml:space="preserve">  </v>
      </c>
    </row>
    <row r="1661" spans="1:12" x14ac:dyDescent="0.2">
      <c r="A1661" s="43"/>
      <c r="B1661" s="42" t="str">
        <f>IFERROR(AVERAGE(Data!B1663), "  ")</f>
        <v xml:space="preserve">  </v>
      </c>
      <c r="C1661" s="42" t="str">
        <f>IFERROR(AVERAGE(Data!C1663), "  ")</f>
        <v xml:space="preserve">  </v>
      </c>
      <c r="D1661" s="42" t="str">
        <f>IFERROR(AVERAGE(Data!D1663), "  ")</f>
        <v xml:space="preserve">  </v>
      </c>
      <c r="E1661" s="42" t="str">
        <f>IFERROR(AVERAGE(Data!E1663), "  ")</f>
        <v xml:space="preserve">  </v>
      </c>
      <c r="F1661" s="42" t="str">
        <f>IFERROR(AVERAGE(Data!F1663), "  ")</f>
        <v xml:space="preserve">  </v>
      </c>
      <c r="G1661" s="42" t="str">
        <f>IFERROR(AVERAGE(Data!G1663), "  ")</f>
        <v xml:space="preserve">  </v>
      </c>
      <c r="H1661" s="44" t="str">
        <f>IFERROR(AVERAGE(Data!H1663), "  ")</f>
        <v xml:space="preserve">  </v>
      </c>
      <c r="I1661" s="44" t="str">
        <f>IFERROR(AVERAGE(Data!I1663), "  ")</f>
        <v xml:space="preserve">  </v>
      </c>
      <c r="J1661" s="42" t="str">
        <f>IFERROR(AVERAGE(Data!J1663), "  ")</f>
        <v xml:space="preserve">  </v>
      </c>
      <c r="K1661" s="44" t="str">
        <f>IFERROR(AVERAGE(Data!K1663), "  ")</f>
        <v xml:space="preserve">  </v>
      </c>
      <c r="L1661" s="45" t="str">
        <f>IFERROR(AVERAGE(Data!L1663), "  ")</f>
        <v xml:space="preserve">  </v>
      </c>
    </row>
    <row r="1662" spans="1:12" x14ac:dyDescent="0.2">
      <c r="A1662" s="43"/>
      <c r="B1662" s="42" t="str">
        <f>IFERROR(AVERAGE(Data!B1664), "  ")</f>
        <v xml:space="preserve">  </v>
      </c>
      <c r="C1662" s="42" t="str">
        <f>IFERROR(AVERAGE(Data!C1664), "  ")</f>
        <v xml:space="preserve">  </v>
      </c>
      <c r="D1662" s="42" t="str">
        <f>IFERROR(AVERAGE(Data!D1664), "  ")</f>
        <v xml:space="preserve">  </v>
      </c>
      <c r="E1662" s="42" t="str">
        <f>IFERROR(AVERAGE(Data!E1664), "  ")</f>
        <v xml:space="preserve">  </v>
      </c>
      <c r="F1662" s="42" t="str">
        <f>IFERROR(AVERAGE(Data!F1664), "  ")</f>
        <v xml:space="preserve">  </v>
      </c>
      <c r="G1662" s="42" t="str">
        <f>IFERROR(AVERAGE(Data!G1664), "  ")</f>
        <v xml:space="preserve">  </v>
      </c>
      <c r="H1662" s="44" t="str">
        <f>IFERROR(AVERAGE(Data!H1664), "  ")</f>
        <v xml:space="preserve">  </v>
      </c>
      <c r="I1662" s="44" t="str">
        <f>IFERROR(AVERAGE(Data!I1664), "  ")</f>
        <v xml:space="preserve">  </v>
      </c>
      <c r="J1662" s="42" t="str">
        <f>IFERROR(AVERAGE(Data!J1664), "  ")</f>
        <v xml:space="preserve">  </v>
      </c>
      <c r="K1662" s="44" t="str">
        <f>IFERROR(AVERAGE(Data!K1664), "  ")</f>
        <v xml:space="preserve">  </v>
      </c>
      <c r="L1662" s="45" t="str">
        <f>IFERROR(AVERAGE(Data!L1664), "  ")</f>
        <v xml:space="preserve">  </v>
      </c>
    </row>
    <row r="1663" spans="1:12" x14ac:dyDescent="0.2">
      <c r="A1663" s="43"/>
      <c r="B1663" s="42" t="str">
        <f>IFERROR(AVERAGE(Data!B1665), "  ")</f>
        <v xml:space="preserve">  </v>
      </c>
      <c r="C1663" s="42" t="str">
        <f>IFERROR(AVERAGE(Data!C1665), "  ")</f>
        <v xml:space="preserve">  </v>
      </c>
      <c r="D1663" s="42" t="str">
        <f>IFERROR(AVERAGE(Data!D1665), "  ")</f>
        <v xml:space="preserve">  </v>
      </c>
      <c r="E1663" s="42" t="str">
        <f>IFERROR(AVERAGE(Data!E1665), "  ")</f>
        <v xml:space="preserve">  </v>
      </c>
      <c r="F1663" s="42" t="str">
        <f>IFERROR(AVERAGE(Data!F1665), "  ")</f>
        <v xml:space="preserve">  </v>
      </c>
      <c r="G1663" s="42" t="str">
        <f>IFERROR(AVERAGE(Data!G1665), "  ")</f>
        <v xml:space="preserve">  </v>
      </c>
      <c r="H1663" s="44" t="str">
        <f>IFERROR(AVERAGE(Data!H1665), "  ")</f>
        <v xml:space="preserve">  </v>
      </c>
      <c r="I1663" s="44" t="str">
        <f>IFERROR(AVERAGE(Data!I1665), "  ")</f>
        <v xml:space="preserve">  </v>
      </c>
      <c r="J1663" s="42" t="str">
        <f>IFERROR(AVERAGE(Data!J1665), "  ")</f>
        <v xml:space="preserve">  </v>
      </c>
      <c r="K1663" s="44" t="str">
        <f>IFERROR(AVERAGE(Data!K1665), "  ")</f>
        <v xml:space="preserve">  </v>
      </c>
      <c r="L1663" s="45" t="str">
        <f>IFERROR(AVERAGE(Data!L1665), "  ")</f>
        <v xml:space="preserve">  </v>
      </c>
    </row>
    <row r="1664" spans="1:12" x14ac:dyDescent="0.2">
      <c r="A1664" s="43"/>
      <c r="B1664" s="42" t="str">
        <f>IFERROR(AVERAGE(Data!B1666), "  ")</f>
        <v xml:space="preserve">  </v>
      </c>
      <c r="C1664" s="42" t="str">
        <f>IFERROR(AVERAGE(Data!C1666), "  ")</f>
        <v xml:space="preserve">  </v>
      </c>
      <c r="D1664" s="42" t="str">
        <f>IFERROR(AVERAGE(Data!D1666), "  ")</f>
        <v xml:space="preserve">  </v>
      </c>
      <c r="E1664" s="42" t="str">
        <f>IFERROR(AVERAGE(Data!E1666), "  ")</f>
        <v xml:space="preserve">  </v>
      </c>
      <c r="F1664" s="42" t="str">
        <f>IFERROR(AVERAGE(Data!F1666), "  ")</f>
        <v xml:space="preserve">  </v>
      </c>
      <c r="G1664" s="42" t="str">
        <f>IFERROR(AVERAGE(Data!G1666), "  ")</f>
        <v xml:space="preserve">  </v>
      </c>
      <c r="H1664" s="44" t="str">
        <f>IFERROR(AVERAGE(Data!H1666), "  ")</f>
        <v xml:space="preserve">  </v>
      </c>
      <c r="I1664" s="44" t="str">
        <f>IFERROR(AVERAGE(Data!I1666), "  ")</f>
        <v xml:space="preserve">  </v>
      </c>
      <c r="J1664" s="42" t="str">
        <f>IFERROR(AVERAGE(Data!J1666), "  ")</f>
        <v xml:space="preserve">  </v>
      </c>
      <c r="K1664" s="44" t="str">
        <f>IFERROR(AVERAGE(Data!K1666), "  ")</f>
        <v xml:space="preserve">  </v>
      </c>
      <c r="L1664" s="45" t="str">
        <f>IFERROR(AVERAGE(Data!L1666), "  ")</f>
        <v xml:space="preserve">  </v>
      </c>
    </row>
    <row r="1665" spans="1:12" x14ac:dyDescent="0.2">
      <c r="A1665" s="43"/>
      <c r="B1665" s="42" t="str">
        <f>IFERROR(AVERAGE(Data!B1667), "  ")</f>
        <v xml:space="preserve">  </v>
      </c>
      <c r="C1665" s="42" t="str">
        <f>IFERROR(AVERAGE(Data!C1667), "  ")</f>
        <v xml:space="preserve">  </v>
      </c>
      <c r="D1665" s="42" t="str">
        <f>IFERROR(AVERAGE(Data!D1667), "  ")</f>
        <v xml:space="preserve">  </v>
      </c>
      <c r="E1665" s="42" t="str">
        <f>IFERROR(AVERAGE(Data!E1667), "  ")</f>
        <v xml:space="preserve">  </v>
      </c>
      <c r="F1665" s="42" t="str">
        <f>IFERROR(AVERAGE(Data!F1667), "  ")</f>
        <v xml:space="preserve">  </v>
      </c>
      <c r="G1665" s="42" t="str">
        <f>IFERROR(AVERAGE(Data!G1667), "  ")</f>
        <v xml:space="preserve">  </v>
      </c>
      <c r="H1665" s="44" t="str">
        <f>IFERROR(AVERAGE(Data!H1667), "  ")</f>
        <v xml:space="preserve">  </v>
      </c>
      <c r="I1665" s="44" t="str">
        <f>IFERROR(AVERAGE(Data!I1667), "  ")</f>
        <v xml:space="preserve">  </v>
      </c>
      <c r="J1665" s="42" t="str">
        <f>IFERROR(AVERAGE(Data!J1667), "  ")</f>
        <v xml:space="preserve">  </v>
      </c>
      <c r="K1665" s="44" t="str">
        <f>IFERROR(AVERAGE(Data!K1667), "  ")</f>
        <v xml:space="preserve">  </v>
      </c>
      <c r="L1665" s="45" t="str">
        <f>IFERROR(AVERAGE(Data!L1667), "  ")</f>
        <v xml:space="preserve">  </v>
      </c>
    </row>
    <row r="1666" spans="1:12" x14ac:dyDescent="0.2">
      <c r="A1666" s="43"/>
      <c r="B1666" s="42" t="str">
        <f>IFERROR(AVERAGE(Data!B1668), "  ")</f>
        <v xml:space="preserve">  </v>
      </c>
      <c r="C1666" s="42" t="str">
        <f>IFERROR(AVERAGE(Data!C1668), "  ")</f>
        <v xml:space="preserve">  </v>
      </c>
      <c r="D1666" s="42" t="str">
        <f>IFERROR(AVERAGE(Data!D1668), "  ")</f>
        <v xml:space="preserve">  </v>
      </c>
      <c r="E1666" s="42" t="str">
        <f>IFERROR(AVERAGE(Data!E1668), "  ")</f>
        <v xml:space="preserve">  </v>
      </c>
      <c r="F1666" s="42" t="str">
        <f>IFERROR(AVERAGE(Data!F1668), "  ")</f>
        <v xml:space="preserve">  </v>
      </c>
      <c r="G1666" s="42" t="str">
        <f>IFERROR(AVERAGE(Data!G1668), "  ")</f>
        <v xml:space="preserve">  </v>
      </c>
      <c r="H1666" s="44" t="str">
        <f>IFERROR(AVERAGE(Data!H1668), "  ")</f>
        <v xml:space="preserve">  </v>
      </c>
      <c r="I1666" s="44" t="str">
        <f>IFERROR(AVERAGE(Data!I1668), "  ")</f>
        <v xml:space="preserve">  </v>
      </c>
      <c r="J1666" s="42" t="str">
        <f>IFERROR(AVERAGE(Data!J1668), "  ")</f>
        <v xml:space="preserve">  </v>
      </c>
      <c r="K1666" s="44" t="str">
        <f>IFERROR(AVERAGE(Data!K1668), "  ")</f>
        <v xml:space="preserve">  </v>
      </c>
      <c r="L1666" s="45" t="str">
        <f>IFERROR(AVERAGE(Data!L1668), "  ")</f>
        <v xml:space="preserve">  </v>
      </c>
    </row>
    <row r="1667" spans="1:12" x14ac:dyDescent="0.2">
      <c r="A1667" s="43"/>
      <c r="B1667" s="42" t="str">
        <f>IFERROR(AVERAGE(Data!B1669), "  ")</f>
        <v xml:space="preserve">  </v>
      </c>
      <c r="C1667" s="42" t="str">
        <f>IFERROR(AVERAGE(Data!C1669), "  ")</f>
        <v xml:space="preserve">  </v>
      </c>
      <c r="D1667" s="42" t="str">
        <f>IFERROR(AVERAGE(Data!D1669), "  ")</f>
        <v xml:space="preserve">  </v>
      </c>
      <c r="E1667" s="42" t="str">
        <f>IFERROR(AVERAGE(Data!E1669), "  ")</f>
        <v xml:space="preserve">  </v>
      </c>
      <c r="F1667" s="42" t="str">
        <f>IFERROR(AVERAGE(Data!F1669), "  ")</f>
        <v xml:space="preserve">  </v>
      </c>
      <c r="G1667" s="42" t="str">
        <f>IFERROR(AVERAGE(Data!G1669), "  ")</f>
        <v xml:space="preserve">  </v>
      </c>
      <c r="H1667" s="44" t="str">
        <f>IFERROR(AVERAGE(Data!H1669), "  ")</f>
        <v xml:space="preserve">  </v>
      </c>
      <c r="I1667" s="44" t="str">
        <f>IFERROR(AVERAGE(Data!I1669), "  ")</f>
        <v xml:space="preserve">  </v>
      </c>
      <c r="J1667" s="42" t="str">
        <f>IFERROR(AVERAGE(Data!J1669), "  ")</f>
        <v xml:space="preserve">  </v>
      </c>
      <c r="K1667" s="44" t="str">
        <f>IFERROR(AVERAGE(Data!K1669), "  ")</f>
        <v xml:space="preserve">  </v>
      </c>
      <c r="L1667" s="45" t="str">
        <f>IFERROR(AVERAGE(Data!L1669), "  ")</f>
        <v xml:space="preserve">  </v>
      </c>
    </row>
    <row r="1668" spans="1:12" x14ac:dyDescent="0.2">
      <c r="A1668" s="43"/>
      <c r="B1668" s="42" t="str">
        <f>IFERROR(AVERAGE(Data!B1670), "  ")</f>
        <v xml:space="preserve">  </v>
      </c>
      <c r="C1668" s="42" t="str">
        <f>IFERROR(AVERAGE(Data!C1670), "  ")</f>
        <v xml:space="preserve">  </v>
      </c>
      <c r="D1668" s="42" t="str">
        <f>IFERROR(AVERAGE(Data!D1670), "  ")</f>
        <v xml:space="preserve">  </v>
      </c>
      <c r="E1668" s="42" t="str">
        <f>IFERROR(AVERAGE(Data!E1670), "  ")</f>
        <v xml:space="preserve">  </v>
      </c>
      <c r="F1668" s="42" t="str">
        <f>IFERROR(AVERAGE(Data!F1670), "  ")</f>
        <v xml:space="preserve">  </v>
      </c>
      <c r="G1668" s="42" t="str">
        <f>IFERROR(AVERAGE(Data!G1670), "  ")</f>
        <v xml:space="preserve">  </v>
      </c>
      <c r="H1668" s="44" t="str">
        <f>IFERROR(AVERAGE(Data!H1670), "  ")</f>
        <v xml:space="preserve">  </v>
      </c>
      <c r="I1668" s="44" t="str">
        <f>IFERROR(AVERAGE(Data!I1670), "  ")</f>
        <v xml:space="preserve">  </v>
      </c>
      <c r="J1668" s="42" t="str">
        <f>IFERROR(AVERAGE(Data!J1670), "  ")</f>
        <v xml:space="preserve">  </v>
      </c>
      <c r="K1668" s="44" t="str">
        <f>IFERROR(AVERAGE(Data!K1670), "  ")</f>
        <v xml:space="preserve">  </v>
      </c>
      <c r="L1668" s="45" t="str">
        <f>IFERROR(AVERAGE(Data!L1670), "  ")</f>
        <v xml:space="preserve">  </v>
      </c>
    </row>
    <row r="1669" spans="1:12" x14ac:dyDescent="0.2">
      <c r="A1669" s="43"/>
      <c r="B1669" s="42" t="str">
        <f>IFERROR(AVERAGE(Data!B1671), "  ")</f>
        <v xml:space="preserve">  </v>
      </c>
      <c r="C1669" s="42" t="str">
        <f>IFERROR(AVERAGE(Data!C1671), "  ")</f>
        <v xml:space="preserve">  </v>
      </c>
      <c r="D1669" s="42" t="str">
        <f>IFERROR(AVERAGE(Data!D1671), "  ")</f>
        <v xml:space="preserve">  </v>
      </c>
      <c r="E1669" s="42" t="str">
        <f>IFERROR(AVERAGE(Data!E1671), "  ")</f>
        <v xml:space="preserve">  </v>
      </c>
      <c r="F1669" s="42" t="str">
        <f>IFERROR(AVERAGE(Data!F1671), "  ")</f>
        <v xml:space="preserve">  </v>
      </c>
      <c r="G1669" s="42" t="str">
        <f>IFERROR(AVERAGE(Data!G1671), "  ")</f>
        <v xml:space="preserve">  </v>
      </c>
      <c r="H1669" s="44" t="str">
        <f>IFERROR(AVERAGE(Data!H1671), "  ")</f>
        <v xml:space="preserve">  </v>
      </c>
      <c r="I1669" s="44" t="str">
        <f>IFERROR(AVERAGE(Data!I1671), "  ")</f>
        <v xml:space="preserve">  </v>
      </c>
      <c r="J1669" s="42" t="str">
        <f>IFERROR(AVERAGE(Data!J1671), "  ")</f>
        <v xml:space="preserve">  </v>
      </c>
      <c r="K1669" s="44" t="str">
        <f>IFERROR(AVERAGE(Data!K1671), "  ")</f>
        <v xml:space="preserve">  </v>
      </c>
      <c r="L1669" s="45" t="str">
        <f>IFERROR(AVERAGE(Data!L1671), "  ")</f>
        <v xml:space="preserve">  </v>
      </c>
    </row>
    <row r="1670" spans="1:12" x14ac:dyDescent="0.2">
      <c r="A1670" s="43"/>
      <c r="B1670" s="42" t="str">
        <f>IFERROR(AVERAGE(Data!B1672), "  ")</f>
        <v xml:space="preserve">  </v>
      </c>
      <c r="C1670" s="42" t="str">
        <f>IFERROR(AVERAGE(Data!C1672), "  ")</f>
        <v xml:space="preserve">  </v>
      </c>
      <c r="D1670" s="42" t="str">
        <f>IFERROR(AVERAGE(Data!D1672), "  ")</f>
        <v xml:space="preserve">  </v>
      </c>
      <c r="E1670" s="42" t="str">
        <f>IFERROR(AVERAGE(Data!E1672), "  ")</f>
        <v xml:space="preserve">  </v>
      </c>
      <c r="F1670" s="42" t="str">
        <f>IFERROR(AVERAGE(Data!F1672), "  ")</f>
        <v xml:space="preserve">  </v>
      </c>
      <c r="G1670" s="42" t="str">
        <f>IFERROR(AVERAGE(Data!G1672), "  ")</f>
        <v xml:space="preserve">  </v>
      </c>
      <c r="H1670" s="44" t="str">
        <f>IFERROR(AVERAGE(Data!H1672), "  ")</f>
        <v xml:space="preserve">  </v>
      </c>
      <c r="I1670" s="44" t="str">
        <f>IFERROR(AVERAGE(Data!I1672), "  ")</f>
        <v xml:space="preserve">  </v>
      </c>
      <c r="J1670" s="42" t="str">
        <f>IFERROR(AVERAGE(Data!J1672), "  ")</f>
        <v xml:space="preserve">  </v>
      </c>
      <c r="K1670" s="44" t="str">
        <f>IFERROR(AVERAGE(Data!K1672), "  ")</f>
        <v xml:space="preserve">  </v>
      </c>
      <c r="L1670" s="45" t="str">
        <f>IFERROR(AVERAGE(Data!L1672), "  ")</f>
        <v xml:space="preserve">  </v>
      </c>
    </row>
    <row r="1671" spans="1:12" x14ac:dyDescent="0.2">
      <c r="A1671" s="43"/>
      <c r="B1671" s="42" t="str">
        <f>IFERROR(AVERAGE(Data!B1673), "  ")</f>
        <v xml:space="preserve">  </v>
      </c>
      <c r="C1671" s="42" t="str">
        <f>IFERROR(AVERAGE(Data!C1673), "  ")</f>
        <v xml:space="preserve">  </v>
      </c>
      <c r="D1671" s="42" t="str">
        <f>IFERROR(AVERAGE(Data!D1673), "  ")</f>
        <v xml:space="preserve">  </v>
      </c>
      <c r="E1671" s="42" t="str">
        <f>IFERROR(AVERAGE(Data!E1673), "  ")</f>
        <v xml:space="preserve">  </v>
      </c>
      <c r="F1671" s="42" t="str">
        <f>IFERROR(AVERAGE(Data!F1673), "  ")</f>
        <v xml:space="preserve">  </v>
      </c>
      <c r="G1671" s="42" t="str">
        <f>IFERROR(AVERAGE(Data!G1673), "  ")</f>
        <v xml:space="preserve">  </v>
      </c>
      <c r="H1671" s="44" t="str">
        <f>IFERROR(AVERAGE(Data!H1673), "  ")</f>
        <v xml:space="preserve">  </v>
      </c>
      <c r="I1671" s="44" t="str">
        <f>IFERROR(AVERAGE(Data!I1673), "  ")</f>
        <v xml:space="preserve">  </v>
      </c>
      <c r="J1671" s="42" t="str">
        <f>IFERROR(AVERAGE(Data!J1673), "  ")</f>
        <v xml:space="preserve">  </v>
      </c>
      <c r="K1671" s="44" t="str">
        <f>IFERROR(AVERAGE(Data!K1673), "  ")</f>
        <v xml:space="preserve">  </v>
      </c>
      <c r="L1671" s="45" t="str">
        <f>IFERROR(AVERAGE(Data!L1673), "  ")</f>
        <v xml:space="preserve">  </v>
      </c>
    </row>
    <row r="1672" spans="1:12" x14ac:dyDescent="0.2">
      <c r="A1672" s="43"/>
      <c r="B1672" s="42" t="str">
        <f>IFERROR(AVERAGE(Data!B1674), "  ")</f>
        <v xml:space="preserve">  </v>
      </c>
      <c r="C1672" s="42" t="str">
        <f>IFERROR(AVERAGE(Data!C1674), "  ")</f>
        <v xml:space="preserve">  </v>
      </c>
      <c r="D1672" s="42" t="str">
        <f>IFERROR(AVERAGE(Data!D1674), "  ")</f>
        <v xml:space="preserve">  </v>
      </c>
      <c r="E1672" s="42" t="str">
        <f>IFERROR(AVERAGE(Data!E1674), "  ")</f>
        <v xml:space="preserve">  </v>
      </c>
      <c r="F1672" s="42" t="str">
        <f>IFERROR(AVERAGE(Data!F1674), "  ")</f>
        <v xml:space="preserve">  </v>
      </c>
      <c r="G1672" s="42" t="str">
        <f>IFERROR(AVERAGE(Data!G1674), "  ")</f>
        <v xml:space="preserve">  </v>
      </c>
      <c r="H1672" s="44" t="str">
        <f>IFERROR(AVERAGE(Data!H1674), "  ")</f>
        <v xml:space="preserve">  </v>
      </c>
      <c r="I1672" s="44" t="str">
        <f>IFERROR(AVERAGE(Data!I1674), "  ")</f>
        <v xml:space="preserve">  </v>
      </c>
      <c r="J1672" s="42" t="str">
        <f>IFERROR(AVERAGE(Data!J1674), "  ")</f>
        <v xml:space="preserve">  </v>
      </c>
      <c r="K1672" s="44" t="str">
        <f>IFERROR(AVERAGE(Data!K1674), "  ")</f>
        <v xml:space="preserve">  </v>
      </c>
      <c r="L1672" s="45" t="str">
        <f>IFERROR(AVERAGE(Data!L1674), "  ")</f>
        <v xml:space="preserve">  </v>
      </c>
    </row>
    <row r="1673" spans="1:12" x14ac:dyDescent="0.2">
      <c r="A1673" s="43"/>
      <c r="B1673" s="42" t="str">
        <f>IFERROR(AVERAGE(Data!B1675), "  ")</f>
        <v xml:space="preserve">  </v>
      </c>
      <c r="C1673" s="42" t="str">
        <f>IFERROR(AVERAGE(Data!C1675), "  ")</f>
        <v xml:space="preserve">  </v>
      </c>
      <c r="D1673" s="42" t="str">
        <f>IFERROR(AVERAGE(Data!D1675), "  ")</f>
        <v xml:space="preserve">  </v>
      </c>
      <c r="E1673" s="42" t="str">
        <f>IFERROR(AVERAGE(Data!E1675), "  ")</f>
        <v xml:space="preserve">  </v>
      </c>
      <c r="F1673" s="42" t="str">
        <f>IFERROR(AVERAGE(Data!F1675), "  ")</f>
        <v xml:space="preserve">  </v>
      </c>
      <c r="G1673" s="42" t="str">
        <f>IFERROR(AVERAGE(Data!G1675), "  ")</f>
        <v xml:space="preserve">  </v>
      </c>
      <c r="H1673" s="44" t="str">
        <f>IFERROR(AVERAGE(Data!H1675), "  ")</f>
        <v xml:space="preserve">  </v>
      </c>
      <c r="I1673" s="44" t="str">
        <f>IFERROR(AVERAGE(Data!I1675), "  ")</f>
        <v xml:space="preserve">  </v>
      </c>
      <c r="J1673" s="42" t="str">
        <f>IFERROR(AVERAGE(Data!J1675), "  ")</f>
        <v xml:space="preserve">  </v>
      </c>
      <c r="K1673" s="44" t="str">
        <f>IFERROR(AVERAGE(Data!K1675), "  ")</f>
        <v xml:space="preserve">  </v>
      </c>
      <c r="L1673" s="45" t="str">
        <f>IFERROR(AVERAGE(Data!L1675), "  ")</f>
        <v xml:space="preserve">  </v>
      </c>
    </row>
    <row r="1674" spans="1:12" x14ac:dyDescent="0.2">
      <c r="A1674" s="43"/>
      <c r="B1674" s="42" t="str">
        <f>IFERROR(AVERAGE(Data!B1676), "  ")</f>
        <v xml:space="preserve">  </v>
      </c>
      <c r="C1674" s="42" t="str">
        <f>IFERROR(AVERAGE(Data!C1676), "  ")</f>
        <v xml:space="preserve">  </v>
      </c>
      <c r="D1674" s="42" t="str">
        <f>IFERROR(AVERAGE(Data!D1676), "  ")</f>
        <v xml:space="preserve">  </v>
      </c>
      <c r="E1674" s="42" t="str">
        <f>IFERROR(AVERAGE(Data!E1676), "  ")</f>
        <v xml:space="preserve">  </v>
      </c>
      <c r="F1674" s="42" t="str">
        <f>IFERROR(AVERAGE(Data!F1676), "  ")</f>
        <v xml:space="preserve">  </v>
      </c>
      <c r="G1674" s="42" t="str">
        <f>IFERROR(AVERAGE(Data!G1676), "  ")</f>
        <v xml:space="preserve">  </v>
      </c>
      <c r="H1674" s="44" t="str">
        <f>IFERROR(AVERAGE(Data!H1676), "  ")</f>
        <v xml:space="preserve">  </v>
      </c>
      <c r="I1674" s="44" t="str">
        <f>IFERROR(AVERAGE(Data!I1676), "  ")</f>
        <v xml:space="preserve">  </v>
      </c>
      <c r="J1674" s="42" t="str">
        <f>IFERROR(AVERAGE(Data!J1676), "  ")</f>
        <v xml:space="preserve">  </v>
      </c>
      <c r="K1674" s="44" t="str">
        <f>IFERROR(AVERAGE(Data!K1676), "  ")</f>
        <v xml:space="preserve">  </v>
      </c>
      <c r="L1674" s="45" t="str">
        <f>IFERROR(AVERAGE(Data!L1676), "  ")</f>
        <v xml:space="preserve">  </v>
      </c>
    </row>
    <row r="1675" spans="1:12" x14ac:dyDescent="0.2">
      <c r="A1675" s="43"/>
      <c r="B1675" s="42" t="str">
        <f>IFERROR(AVERAGE(Data!B1677), "  ")</f>
        <v xml:space="preserve">  </v>
      </c>
      <c r="C1675" s="42" t="str">
        <f>IFERROR(AVERAGE(Data!C1677), "  ")</f>
        <v xml:space="preserve">  </v>
      </c>
      <c r="D1675" s="42" t="str">
        <f>IFERROR(AVERAGE(Data!D1677), "  ")</f>
        <v xml:space="preserve">  </v>
      </c>
      <c r="E1675" s="42" t="str">
        <f>IFERROR(AVERAGE(Data!E1677), "  ")</f>
        <v xml:space="preserve">  </v>
      </c>
      <c r="F1675" s="42" t="str">
        <f>IFERROR(AVERAGE(Data!F1677), "  ")</f>
        <v xml:space="preserve">  </v>
      </c>
      <c r="G1675" s="42" t="str">
        <f>IFERROR(AVERAGE(Data!G1677), "  ")</f>
        <v xml:space="preserve">  </v>
      </c>
      <c r="H1675" s="44" t="str">
        <f>IFERROR(AVERAGE(Data!H1677), "  ")</f>
        <v xml:space="preserve">  </v>
      </c>
      <c r="I1675" s="44" t="str">
        <f>IFERROR(AVERAGE(Data!I1677), "  ")</f>
        <v xml:space="preserve">  </v>
      </c>
      <c r="J1675" s="42" t="str">
        <f>IFERROR(AVERAGE(Data!J1677), "  ")</f>
        <v xml:space="preserve">  </v>
      </c>
      <c r="K1675" s="44" t="str">
        <f>IFERROR(AVERAGE(Data!K1677), "  ")</f>
        <v xml:space="preserve">  </v>
      </c>
      <c r="L1675" s="45" t="str">
        <f>IFERROR(AVERAGE(Data!L1677), "  ")</f>
        <v xml:space="preserve">  </v>
      </c>
    </row>
    <row r="1676" spans="1:12" x14ac:dyDescent="0.2">
      <c r="A1676" s="43"/>
      <c r="B1676" s="42" t="str">
        <f>IFERROR(AVERAGE(Data!B1678), "  ")</f>
        <v xml:space="preserve">  </v>
      </c>
      <c r="C1676" s="42" t="str">
        <f>IFERROR(AVERAGE(Data!C1678), "  ")</f>
        <v xml:space="preserve">  </v>
      </c>
      <c r="D1676" s="42" t="str">
        <f>IFERROR(AVERAGE(Data!D1678), "  ")</f>
        <v xml:space="preserve">  </v>
      </c>
      <c r="E1676" s="42" t="str">
        <f>IFERROR(AVERAGE(Data!E1678), "  ")</f>
        <v xml:space="preserve">  </v>
      </c>
      <c r="F1676" s="42" t="str">
        <f>IFERROR(AVERAGE(Data!F1678), "  ")</f>
        <v xml:space="preserve">  </v>
      </c>
      <c r="G1676" s="42" t="str">
        <f>IFERROR(AVERAGE(Data!G1678), "  ")</f>
        <v xml:space="preserve">  </v>
      </c>
      <c r="H1676" s="44" t="str">
        <f>IFERROR(AVERAGE(Data!H1678), "  ")</f>
        <v xml:space="preserve">  </v>
      </c>
      <c r="I1676" s="44" t="str">
        <f>IFERROR(AVERAGE(Data!I1678), "  ")</f>
        <v xml:space="preserve">  </v>
      </c>
      <c r="J1676" s="42" t="str">
        <f>IFERROR(AVERAGE(Data!J1678), "  ")</f>
        <v xml:space="preserve">  </v>
      </c>
      <c r="K1676" s="44" t="str">
        <f>IFERROR(AVERAGE(Data!K1678), "  ")</f>
        <v xml:space="preserve">  </v>
      </c>
      <c r="L1676" s="45" t="str">
        <f>IFERROR(AVERAGE(Data!L1678), "  ")</f>
        <v xml:space="preserve">  </v>
      </c>
    </row>
    <row r="1677" spans="1:12" x14ac:dyDescent="0.2">
      <c r="A1677" s="43"/>
      <c r="B1677" s="42" t="str">
        <f>IFERROR(AVERAGE(Data!B1679), "  ")</f>
        <v xml:space="preserve">  </v>
      </c>
      <c r="C1677" s="42" t="str">
        <f>IFERROR(AVERAGE(Data!C1679), "  ")</f>
        <v xml:space="preserve">  </v>
      </c>
      <c r="D1677" s="42" t="str">
        <f>IFERROR(AVERAGE(Data!D1679), "  ")</f>
        <v xml:space="preserve">  </v>
      </c>
      <c r="E1677" s="42" t="str">
        <f>IFERROR(AVERAGE(Data!E1679), "  ")</f>
        <v xml:space="preserve">  </v>
      </c>
      <c r="F1677" s="42" t="str">
        <f>IFERROR(AVERAGE(Data!F1679), "  ")</f>
        <v xml:space="preserve">  </v>
      </c>
      <c r="G1677" s="42" t="str">
        <f>IFERROR(AVERAGE(Data!G1679), "  ")</f>
        <v xml:space="preserve">  </v>
      </c>
      <c r="H1677" s="44" t="str">
        <f>IFERROR(AVERAGE(Data!H1679), "  ")</f>
        <v xml:space="preserve">  </v>
      </c>
      <c r="I1677" s="44" t="str">
        <f>IFERROR(AVERAGE(Data!I1679), "  ")</f>
        <v xml:space="preserve">  </v>
      </c>
      <c r="J1677" s="42" t="str">
        <f>IFERROR(AVERAGE(Data!J1679), "  ")</f>
        <v xml:space="preserve">  </v>
      </c>
      <c r="K1677" s="44" t="str">
        <f>IFERROR(AVERAGE(Data!K1679), "  ")</f>
        <v xml:space="preserve">  </v>
      </c>
      <c r="L1677" s="45" t="str">
        <f>IFERROR(AVERAGE(Data!L1679), "  ")</f>
        <v xml:space="preserve">  </v>
      </c>
    </row>
    <row r="1678" spans="1:12" x14ac:dyDescent="0.2">
      <c r="A1678" s="43"/>
      <c r="B1678" s="42" t="str">
        <f>IFERROR(AVERAGE(Data!B1680), "  ")</f>
        <v xml:space="preserve">  </v>
      </c>
      <c r="C1678" s="42" t="str">
        <f>IFERROR(AVERAGE(Data!C1680), "  ")</f>
        <v xml:space="preserve">  </v>
      </c>
      <c r="D1678" s="42" t="str">
        <f>IFERROR(AVERAGE(Data!D1680), "  ")</f>
        <v xml:space="preserve">  </v>
      </c>
      <c r="E1678" s="42" t="str">
        <f>IFERROR(AVERAGE(Data!E1680), "  ")</f>
        <v xml:space="preserve">  </v>
      </c>
      <c r="F1678" s="42" t="str">
        <f>IFERROR(AVERAGE(Data!F1680), "  ")</f>
        <v xml:space="preserve">  </v>
      </c>
      <c r="G1678" s="42" t="str">
        <f>IFERROR(AVERAGE(Data!G1680), "  ")</f>
        <v xml:space="preserve">  </v>
      </c>
      <c r="H1678" s="44" t="str">
        <f>IFERROR(AVERAGE(Data!H1680), "  ")</f>
        <v xml:space="preserve">  </v>
      </c>
      <c r="I1678" s="44" t="str">
        <f>IFERROR(AVERAGE(Data!I1680), "  ")</f>
        <v xml:space="preserve">  </v>
      </c>
      <c r="J1678" s="42" t="str">
        <f>IFERROR(AVERAGE(Data!J1680), "  ")</f>
        <v xml:space="preserve">  </v>
      </c>
      <c r="K1678" s="44" t="str">
        <f>IFERROR(AVERAGE(Data!K1680), "  ")</f>
        <v xml:space="preserve">  </v>
      </c>
      <c r="L1678" s="45" t="str">
        <f>IFERROR(AVERAGE(Data!L1680), "  ")</f>
        <v xml:space="preserve">  </v>
      </c>
    </row>
    <row r="1679" spans="1:12" x14ac:dyDescent="0.2">
      <c r="A1679" s="43"/>
      <c r="B1679" s="42" t="str">
        <f>IFERROR(AVERAGE(Data!B1681), "  ")</f>
        <v xml:space="preserve">  </v>
      </c>
      <c r="C1679" s="42" t="str">
        <f>IFERROR(AVERAGE(Data!C1681), "  ")</f>
        <v xml:space="preserve">  </v>
      </c>
      <c r="D1679" s="42" t="str">
        <f>IFERROR(AVERAGE(Data!D1681), "  ")</f>
        <v xml:space="preserve">  </v>
      </c>
      <c r="E1679" s="42" t="str">
        <f>IFERROR(AVERAGE(Data!E1681), "  ")</f>
        <v xml:space="preserve">  </v>
      </c>
      <c r="F1679" s="42" t="str">
        <f>IFERROR(AVERAGE(Data!F1681), "  ")</f>
        <v xml:space="preserve">  </v>
      </c>
      <c r="G1679" s="42" t="str">
        <f>IFERROR(AVERAGE(Data!G1681), "  ")</f>
        <v xml:space="preserve">  </v>
      </c>
      <c r="H1679" s="44" t="str">
        <f>IFERROR(AVERAGE(Data!H1681), "  ")</f>
        <v xml:space="preserve">  </v>
      </c>
      <c r="I1679" s="44" t="str">
        <f>IFERROR(AVERAGE(Data!I1681), "  ")</f>
        <v xml:space="preserve">  </v>
      </c>
      <c r="J1679" s="42" t="str">
        <f>IFERROR(AVERAGE(Data!J1681), "  ")</f>
        <v xml:space="preserve">  </v>
      </c>
      <c r="K1679" s="44" t="str">
        <f>IFERROR(AVERAGE(Data!K1681), "  ")</f>
        <v xml:space="preserve">  </v>
      </c>
      <c r="L1679" s="45" t="str">
        <f>IFERROR(AVERAGE(Data!L1681), "  ")</f>
        <v xml:space="preserve">  </v>
      </c>
    </row>
    <row r="1680" spans="1:12" x14ac:dyDescent="0.2">
      <c r="A1680" s="43"/>
      <c r="B1680" s="42" t="str">
        <f>IFERROR(AVERAGE(Data!B1682), "  ")</f>
        <v xml:space="preserve">  </v>
      </c>
      <c r="C1680" s="42" t="str">
        <f>IFERROR(AVERAGE(Data!C1682), "  ")</f>
        <v xml:space="preserve">  </v>
      </c>
      <c r="D1680" s="42" t="str">
        <f>IFERROR(AVERAGE(Data!D1682), "  ")</f>
        <v xml:space="preserve">  </v>
      </c>
      <c r="E1680" s="42" t="str">
        <f>IFERROR(AVERAGE(Data!E1682), "  ")</f>
        <v xml:space="preserve">  </v>
      </c>
      <c r="F1680" s="42" t="str">
        <f>IFERROR(AVERAGE(Data!F1682), "  ")</f>
        <v xml:space="preserve">  </v>
      </c>
      <c r="G1680" s="42" t="str">
        <f>IFERROR(AVERAGE(Data!G1682), "  ")</f>
        <v xml:space="preserve">  </v>
      </c>
      <c r="H1680" s="44" t="str">
        <f>IFERROR(AVERAGE(Data!H1682), "  ")</f>
        <v xml:space="preserve">  </v>
      </c>
      <c r="I1680" s="44" t="str">
        <f>IFERROR(AVERAGE(Data!I1682), "  ")</f>
        <v xml:space="preserve">  </v>
      </c>
      <c r="J1680" s="42" t="str">
        <f>IFERROR(AVERAGE(Data!J1682), "  ")</f>
        <v xml:space="preserve">  </v>
      </c>
      <c r="K1680" s="44" t="str">
        <f>IFERROR(AVERAGE(Data!K1682), "  ")</f>
        <v xml:space="preserve">  </v>
      </c>
      <c r="L1680" s="45" t="str">
        <f>IFERROR(AVERAGE(Data!L1682), "  ")</f>
        <v xml:space="preserve">  </v>
      </c>
    </row>
    <row r="1681" spans="1:12" x14ac:dyDescent="0.2">
      <c r="A1681" s="43"/>
      <c r="B1681" s="42" t="str">
        <f>IFERROR(AVERAGE(Data!B1683), "  ")</f>
        <v xml:space="preserve">  </v>
      </c>
      <c r="C1681" s="42" t="str">
        <f>IFERROR(AVERAGE(Data!C1683), "  ")</f>
        <v xml:space="preserve">  </v>
      </c>
      <c r="D1681" s="42" t="str">
        <f>IFERROR(AVERAGE(Data!D1683), "  ")</f>
        <v xml:space="preserve">  </v>
      </c>
      <c r="E1681" s="42" t="str">
        <f>IFERROR(AVERAGE(Data!E1683), "  ")</f>
        <v xml:space="preserve">  </v>
      </c>
      <c r="F1681" s="42" t="str">
        <f>IFERROR(AVERAGE(Data!F1683), "  ")</f>
        <v xml:space="preserve">  </v>
      </c>
      <c r="G1681" s="42" t="str">
        <f>IFERROR(AVERAGE(Data!G1683), "  ")</f>
        <v xml:space="preserve">  </v>
      </c>
      <c r="H1681" s="44" t="str">
        <f>IFERROR(AVERAGE(Data!H1683), "  ")</f>
        <v xml:space="preserve">  </v>
      </c>
      <c r="I1681" s="44" t="str">
        <f>IFERROR(AVERAGE(Data!I1683), "  ")</f>
        <v xml:space="preserve">  </v>
      </c>
      <c r="J1681" s="42" t="str">
        <f>IFERROR(AVERAGE(Data!J1683), "  ")</f>
        <v xml:space="preserve">  </v>
      </c>
      <c r="K1681" s="44" t="str">
        <f>IFERROR(AVERAGE(Data!K1683), "  ")</f>
        <v xml:space="preserve">  </v>
      </c>
      <c r="L1681" s="45" t="str">
        <f>IFERROR(AVERAGE(Data!L1683), "  ")</f>
        <v xml:space="preserve">  </v>
      </c>
    </row>
    <row r="1682" spans="1:12" x14ac:dyDescent="0.2">
      <c r="A1682" s="43"/>
      <c r="B1682" s="42" t="str">
        <f>IFERROR(AVERAGE(Data!B1684), "  ")</f>
        <v xml:space="preserve">  </v>
      </c>
      <c r="C1682" s="42" t="str">
        <f>IFERROR(AVERAGE(Data!C1684), "  ")</f>
        <v xml:space="preserve">  </v>
      </c>
      <c r="D1682" s="42" t="str">
        <f>IFERROR(AVERAGE(Data!D1684), "  ")</f>
        <v xml:space="preserve">  </v>
      </c>
      <c r="E1682" s="42" t="str">
        <f>IFERROR(AVERAGE(Data!E1684), "  ")</f>
        <v xml:space="preserve">  </v>
      </c>
      <c r="F1682" s="42" t="str">
        <f>IFERROR(AVERAGE(Data!F1684), "  ")</f>
        <v xml:space="preserve">  </v>
      </c>
      <c r="G1682" s="42" t="str">
        <f>IFERROR(AVERAGE(Data!G1684), "  ")</f>
        <v xml:space="preserve">  </v>
      </c>
      <c r="H1682" s="44" t="str">
        <f>IFERROR(AVERAGE(Data!H1684), "  ")</f>
        <v xml:space="preserve">  </v>
      </c>
      <c r="I1682" s="44" t="str">
        <f>IFERROR(AVERAGE(Data!I1684), "  ")</f>
        <v xml:space="preserve">  </v>
      </c>
      <c r="J1682" s="42" t="str">
        <f>IFERROR(AVERAGE(Data!J1684), "  ")</f>
        <v xml:space="preserve">  </v>
      </c>
      <c r="K1682" s="44" t="str">
        <f>IFERROR(AVERAGE(Data!K1684), "  ")</f>
        <v xml:space="preserve">  </v>
      </c>
      <c r="L1682" s="45" t="str">
        <f>IFERROR(AVERAGE(Data!L1684), "  ")</f>
        <v xml:space="preserve">  </v>
      </c>
    </row>
    <row r="1683" spans="1:12" x14ac:dyDescent="0.2">
      <c r="A1683" s="43"/>
      <c r="B1683" s="42" t="str">
        <f>IFERROR(AVERAGE(Data!B1685), "  ")</f>
        <v xml:space="preserve">  </v>
      </c>
      <c r="C1683" s="42" t="str">
        <f>IFERROR(AVERAGE(Data!C1685), "  ")</f>
        <v xml:space="preserve">  </v>
      </c>
      <c r="D1683" s="42" t="str">
        <f>IFERROR(AVERAGE(Data!D1685), "  ")</f>
        <v xml:space="preserve">  </v>
      </c>
      <c r="E1683" s="42" t="str">
        <f>IFERROR(AVERAGE(Data!E1685), "  ")</f>
        <v xml:space="preserve">  </v>
      </c>
      <c r="F1683" s="42" t="str">
        <f>IFERROR(AVERAGE(Data!F1685), "  ")</f>
        <v xml:space="preserve">  </v>
      </c>
      <c r="G1683" s="42" t="str">
        <f>IFERROR(AVERAGE(Data!G1685), "  ")</f>
        <v xml:space="preserve">  </v>
      </c>
      <c r="H1683" s="44" t="str">
        <f>IFERROR(AVERAGE(Data!H1685), "  ")</f>
        <v xml:space="preserve">  </v>
      </c>
      <c r="I1683" s="44" t="str">
        <f>IFERROR(AVERAGE(Data!I1685), "  ")</f>
        <v xml:space="preserve">  </v>
      </c>
      <c r="J1683" s="42" t="str">
        <f>IFERROR(AVERAGE(Data!J1685), "  ")</f>
        <v xml:space="preserve">  </v>
      </c>
      <c r="K1683" s="44" t="str">
        <f>IFERROR(AVERAGE(Data!K1685), "  ")</f>
        <v xml:space="preserve">  </v>
      </c>
      <c r="L1683" s="45" t="str">
        <f>IFERROR(AVERAGE(Data!L1685), "  ")</f>
        <v xml:space="preserve">  </v>
      </c>
    </row>
    <row r="1684" spans="1:12" x14ac:dyDescent="0.2">
      <c r="A1684" s="43"/>
      <c r="B1684" s="42" t="str">
        <f>IFERROR(AVERAGE(Data!B1686), "  ")</f>
        <v xml:space="preserve">  </v>
      </c>
      <c r="C1684" s="42" t="str">
        <f>IFERROR(AVERAGE(Data!C1686), "  ")</f>
        <v xml:space="preserve">  </v>
      </c>
      <c r="D1684" s="42" t="str">
        <f>IFERROR(AVERAGE(Data!D1686), "  ")</f>
        <v xml:space="preserve">  </v>
      </c>
      <c r="E1684" s="42" t="str">
        <f>IFERROR(AVERAGE(Data!E1686), "  ")</f>
        <v xml:space="preserve">  </v>
      </c>
      <c r="F1684" s="42" t="str">
        <f>IFERROR(AVERAGE(Data!F1686), "  ")</f>
        <v xml:space="preserve">  </v>
      </c>
      <c r="G1684" s="42" t="str">
        <f>IFERROR(AVERAGE(Data!G1686), "  ")</f>
        <v xml:space="preserve">  </v>
      </c>
      <c r="H1684" s="44" t="str">
        <f>IFERROR(AVERAGE(Data!H1686), "  ")</f>
        <v xml:space="preserve">  </v>
      </c>
      <c r="I1684" s="44" t="str">
        <f>IFERROR(AVERAGE(Data!I1686), "  ")</f>
        <v xml:space="preserve">  </v>
      </c>
      <c r="J1684" s="42" t="str">
        <f>IFERROR(AVERAGE(Data!J1686), "  ")</f>
        <v xml:space="preserve">  </v>
      </c>
      <c r="K1684" s="44" t="str">
        <f>IFERROR(AVERAGE(Data!K1686), "  ")</f>
        <v xml:space="preserve">  </v>
      </c>
      <c r="L1684" s="45" t="str">
        <f>IFERROR(AVERAGE(Data!L1686), "  ")</f>
        <v xml:space="preserve">  </v>
      </c>
    </row>
    <row r="1685" spans="1:12" x14ac:dyDescent="0.2">
      <c r="A1685" s="43"/>
      <c r="B1685" s="42" t="str">
        <f>IFERROR(AVERAGE(Data!B1687), "  ")</f>
        <v xml:space="preserve">  </v>
      </c>
      <c r="C1685" s="42" t="str">
        <f>IFERROR(AVERAGE(Data!C1687), "  ")</f>
        <v xml:space="preserve">  </v>
      </c>
      <c r="D1685" s="42" t="str">
        <f>IFERROR(AVERAGE(Data!D1687), "  ")</f>
        <v xml:space="preserve">  </v>
      </c>
      <c r="E1685" s="42" t="str">
        <f>IFERROR(AVERAGE(Data!E1687), "  ")</f>
        <v xml:space="preserve">  </v>
      </c>
      <c r="F1685" s="42" t="str">
        <f>IFERROR(AVERAGE(Data!F1687), "  ")</f>
        <v xml:space="preserve">  </v>
      </c>
      <c r="G1685" s="42" t="str">
        <f>IFERROR(AVERAGE(Data!G1687), "  ")</f>
        <v xml:space="preserve">  </v>
      </c>
      <c r="H1685" s="44" t="str">
        <f>IFERROR(AVERAGE(Data!H1687), "  ")</f>
        <v xml:space="preserve">  </v>
      </c>
      <c r="I1685" s="44" t="str">
        <f>IFERROR(AVERAGE(Data!I1687), "  ")</f>
        <v xml:space="preserve">  </v>
      </c>
      <c r="J1685" s="42" t="str">
        <f>IFERROR(AVERAGE(Data!J1687), "  ")</f>
        <v xml:space="preserve">  </v>
      </c>
      <c r="K1685" s="44" t="str">
        <f>IFERROR(AVERAGE(Data!K1687), "  ")</f>
        <v xml:space="preserve">  </v>
      </c>
      <c r="L1685" s="45" t="str">
        <f>IFERROR(AVERAGE(Data!L1687), "  ")</f>
        <v xml:space="preserve">  </v>
      </c>
    </row>
    <row r="1686" spans="1:12" x14ac:dyDescent="0.2">
      <c r="A1686" s="43"/>
      <c r="B1686" s="42" t="str">
        <f>IFERROR(AVERAGE(Data!B1688), "  ")</f>
        <v xml:space="preserve">  </v>
      </c>
      <c r="C1686" s="42" t="str">
        <f>IFERROR(AVERAGE(Data!C1688), "  ")</f>
        <v xml:space="preserve">  </v>
      </c>
      <c r="D1686" s="42" t="str">
        <f>IFERROR(AVERAGE(Data!D1688), "  ")</f>
        <v xml:space="preserve">  </v>
      </c>
      <c r="E1686" s="42" t="str">
        <f>IFERROR(AVERAGE(Data!E1688), "  ")</f>
        <v xml:space="preserve">  </v>
      </c>
      <c r="F1686" s="42" t="str">
        <f>IFERROR(AVERAGE(Data!F1688), "  ")</f>
        <v xml:space="preserve">  </v>
      </c>
      <c r="G1686" s="42" t="str">
        <f>IFERROR(AVERAGE(Data!G1688), "  ")</f>
        <v xml:space="preserve">  </v>
      </c>
      <c r="H1686" s="44" t="str">
        <f>IFERROR(AVERAGE(Data!H1688), "  ")</f>
        <v xml:space="preserve">  </v>
      </c>
      <c r="I1686" s="44" t="str">
        <f>IFERROR(AVERAGE(Data!I1688), "  ")</f>
        <v xml:space="preserve">  </v>
      </c>
      <c r="J1686" s="42" t="str">
        <f>IFERROR(AVERAGE(Data!J1688), "  ")</f>
        <v xml:space="preserve">  </v>
      </c>
      <c r="K1686" s="44" t="str">
        <f>IFERROR(AVERAGE(Data!K1688), "  ")</f>
        <v xml:space="preserve">  </v>
      </c>
      <c r="L1686" s="45" t="str">
        <f>IFERROR(AVERAGE(Data!L1688), "  ")</f>
        <v xml:space="preserve">  </v>
      </c>
    </row>
    <row r="1687" spans="1:12" x14ac:dyDescent="0.2">
      <c r="A1687" s="43"/>
      <c r="B1687" s="42" t="str">
        <f>IFERROR(AVERAGE(Data!B1689), "  ")</f>
        <v xml:space="preserve">  </v>
      </c>
      <c r="C1687" s="42" t="str">
        <f>IFERROR(AVERAGE(Data!C1689), "  ")</f>
        <v xml:space="preserve">  </v>
      </c>
      <c r="D1687" s="42" t="str">
        <f>IFERROR(AVERAGE(Data!D1689), "  ")</f>
        <v xml:space="preserve">  </v>
      </c>
      <c r="E1687" s="42" t="str">
        <f>IFERROR(AVERAGE(Data!E1689), "  ")</f>
        <v xml:space="preserve">  </v>
      </c>
      <c r="F1687" s="42" t="str">
        <f>IFERROR(AVERAGE(Data!F1689), "  ")</f>
        <v xml:space="preserve">  </v>
      </c>
      <c r="G1687" s="42" t="str">
        <f>IFERROR(AVERAGE(Data!G1689), "  ")</f>
        <v xml:space="preserve">  </v>
      </c>
      <c r="H1687" s="44" t="str">
        <f>IFERROR(AVERAGE(Data!H1689), "  ")</f>
        <v xml:space="preserve">  </v>
      </c>
      <c r="I1687" s="44" t="str">
        <f>IFERROR(AVERAGE(Data!I1689), "  ")</f>
        <v xml:space="preserve">  </v>
      </c>
      <c r="J1687" s="42" t="str">
        <f>IFERROR(AVERAGE(Data!J1689), "  ")</f>
        <v xml:space="preserve">  </v>
      </c>
      <c r="K1687" s="44" t="str">
        <f>IFERROR(AVERAGE(Data!K1689), "  ")</f>
        <v xml:space="preserve">  </v>
      </c>
      <c r="L1687" s="45" t="str">
        <f>IFERROR(AVERAGE(Data!L1689), "  ")</f>
        <v xml:space="preserve">  </v>
      </c>
    </row>
    <row r="1688" spans="1:12" x14ac:dyDescent="0.2">
      <c r="A1688" s="43"/>
      <c r="B1688" s="42" t="str">
        <f>IFERROR(AVERAGE(Data!B1690), "  ")</f>
        <v xml:space="preserve">  </v>
      </c>
      <c r="C1688" s="42" t="str">
        <f>IFERROR(AVERAGE(Data!C1690), "  ")</f>
        <v xml:space="preserve">  </v>
      </c>
      <c r="D1688" s="42" t="str">
        <f>IFERROR(AVERAGE(Data!D1690), "  ")</f>
        <v xml:space="preserve">  </v>
      </c>
      <c r="E1688" s="42" t="str">
        <f>IFERROR(AVERAGE(Data!E1690), "  ")</f>
        <v xml:space="preserve">  </v>
      </c>
      <c r="F1688" s="42" t="str">
        <f>IFERROR(AVERAGE(Data!F1690), "  ")</f>
        <v xml:space="preserve">  </v>
      </c>
      <c r="G1688" s="42" t="str">
        <f>IFERROR(AVERAGE(Data!G1690), "  ")</f>
        <v xml:space="preserve">  </v>
      </c>
      <c r="H1688" s="44" t="str">
        <f>IFERROR(AVERAGE(Data!H1690), "  ")</f>
        <v xml:space="preserve">  </v>
      </c>
      <c r="I1688" s="44" t="str">
        <f>IFERROR(AVERAGE(Data!I1690), "  ")</f>
        <v xml:space="preserve">  </v>
      </c>
      <c r="J1688" s="42" t="str">
        <f>IFERROR(AVERAGE(Data!J1690), "  ")</f>
        <v xml:space="preserve">  </v>
      </c>
      <c r="K1688" s="44" t="str">
        <f>IFERROR(AVERAGE(Data!K1690), "  ")</f>
        <v xml:space="preserve">  </v>
      </c>
      <c r="L1688" s="45" t="str">
        <f>IFERROR(AVERAGE(Data!L1690), "  ")</f>
        <v xml:space="preserve">  </v>
      </c>
    </row>
    <row r="1689" spans="1:12" x14ac:dyDescent="0.2">
      <c r="A1689" s="43"/>
      <c r="B1689" s="42" t="str">
        <f>IFERROR(AVERAGE(Data!B1691), "  ")</f>
        <v xml:space="preserve">  </v>
      </c>
      <c r="C1689" s="42" t="str">
        <f>IFERROR(AVERAGE(Data!C1691), "  ")</f>
        <v xml:space="preserve">  </v>
      </c>
      <c r="D1689" s="42" t="str">
        <f>IFERROR(AVERAGE(Data!D1691), "  ")</f>
        <v xml:space="preserve">  </v>
      </c>
      <c r="E1689" s="42" t="str">
        <f>IFERROR(AVERAGE(Data!E1691), "  ")</f>
        <v xml:space="preserve">  </v>
      </c>
      <c r="F1689" s="42" t="str">
        <f>IFERROR(AVERAGE(Data!F1691), "  ")</f>
        <v xml:space="preserve">  </v>
      </c>
      <c r="G1689" s="42" t="str">
        <f>IFERROR(AVERAGE(Data!G1691), "  ")</f>
        <v xml:space="preserve">  </v>
      </c>
      <c r="H1689" s="44" t="str">
        <f>IFERROR(AVERAGE(Data!H1691), "  ")</f>
        <v xml:space="preserve">  </v>
      </c>
      <c r="I1689" s="44" t="str">
        <f>IFERROR(AVERAGE(Data!I1691), "  ")</f>
        <v xml:space="preserve">  </v>
      </c>
      <c r="J1689" s="42" t="str">
        <f>IFERROR(AVERAGE(Data!J1691), "  ")</f>
        <v xml:space="preserve">  </v>
      </c>
      <c r="K1689" s="44" t="str">
        <f>IFERROR(AVERAGE(Data!K1691), "  ")</f>
        <v xml:space="preserve">  </v>
      </c>
      <c r="L1689" s="45" t="str">
        <f>IFERROR(AVERAGE(Data!L1691), "  ")</f>
        <v xml:space="preserve">  </v>
      </c>
    </row>
    <row r="1690" spans="1:12" x14ac:dyDescent="0.2">
      <c r="A1690" s="43"/>
      <c r="B1690" s="42" t="str">
        <f>IFERROR(AVERAGE(Data!B1692), "  ")</f>
        <v xml:space="preserve">  </v>
      </c>
      <c r="C1690" s="42" t="str">
        <f>IFERROR(AVERAGE(Data!C1692), "  ")</f>
        <v xml:space="preserve">  </v>
      </c>
      <c r="D1690" s="42" t="str">
        <f>IFERROR(AVERAGE(Data!D1692), "  ")</f>
        <v xml:space="preserve">  </v>
      </c>
      <c r="E1690" s="42" t="str">
        <f>IFERROR(AVERAGE(Data!E1692), "  ")</f>
        <v xml:space="preserve">  </v>
      </c>
      <c r="F1690" s="42" t="str">
        <f>IFERROR(AVERAGE(Data!F1692), "  ")</f>
        <v xml:space="preserve">  </v>
      </c>
      <c r="G1690" s="42" t="str">
        <f>IFERROR(AVERAGE(Data!G1692), "  ")</f>
        <v xml:space="preserve">  </v>
      </c>
      <c r="H1690" s="44" t="str">
        <f>IFERROR(AVERAGE(Data!H1692), "  ")</f>
        <v xml:space="preserve">  </v>
      </c>
      <c r="I1690" s="44" t="str">
        <f>IFERROR(AVERAGE(Data!I1692), "  ")</f>
        <v xml:space="preserve">  </v>
      </c>
      <c r="J1690" s="42" t="str">
        <f>IFERROR(AVERAGE(Data!J1692), "  ")</f>
        <v xml:space="preserve">  </v>
      </c>
      <c r="K1690" s="44" t="str">
        <f>IFERROR(AVERAGE(Data!K1692), "  ")</f>
        <v xml:space="preserve">  </v>
      </c>
      <c r="L1690" s="45" t="str">
        <f>IFERROR(AVERAGE(Data!L1692), "  ")</f>
        <v xml:space="preserve">  </v>
      </c>
    </row>
    <row r="1691" spans="1:12" x14ac:dyDescent="0.2">
      <c r="A1691" s="43"/>
      <c r="B1691" s="42" t="str">
        <f>IFERROR(AVERAGE(Data!B1693), "  ")</f>
        <v xml:space="preserve">  </v>
      </c>
      <c r="C1691" s="42" t="str">
        <f>IFERROR(AVERAGE(Data!C1693), "  ")</f>
        <v xml:space="preserve">  </v>
      </c>
      <c r="D1691" s="42" t="str">
        <f>IFERROR(AVERAGE(Data!D1693), "  ")</f>
        <v xml:space="preserve">  </v>
      </c>
      <c r="E1691" s="42" t="str">
        <f>IFERROR(AVERAGE(Data!E1693), "  ")</f>
        <v xml:space="preserve">  </v>
      </c>
      <c r="F1691" s="42" t="str">
        <f>IFERROR(AVERAGE(Data!F1693), "  ")</f>
        <v xml:space="preserve">  </v>
      </c>
      <c r="G1691" s="42" t="str">
        <f>IFERROR(AVERAGE(Data!G1693), "  ")</f>
        <v xml:space="preserve">  </v>
      </c>
      <c r="H1691" s="44" t="str">
        <f>IFERROR(AVERAGE(Data!H1693), "  ")</f>
        <v xml:space="preserve">  </v>
      </c>
      <c r="I1691" s="44" t="str">
        <f>IFERROR(AVERAGE(Data!I1693), "  ")</f>
        <v xml:space="preserve">  </v>
      </c>
      <c r="J1691" s="42" t="str">
        <f>IFERROR(AVERAGE(Data!J1693), "  ")</f>
        <v xml:space="preserve">  </v>
      </c>
      <c r="K1691" s="44" t="str">
        <f>IFERROR(AVERAGE(Data!K1693), "  ")</f>
        <v xml:space="preserve">  </v>
      </c>
      <c r="L1691" s="45" t="str">
        <f>IFERROR(AVERAGE(Data!L1693), "  ")</f>
        <v xml:space="preserve">  </v>
      </c>
    </row>
    <row r="1692" spans="1:12" x14ac:dyDescent="0.2">
      <c r="A1692" s="43"/>
      <c r="B1692" s="42" t="str">
        <f>IFERROR(AVERAGE(Data!B1694), "  ")</f>
        <v xml:space="preserve">  </v>
      </c>
      <c r="C1692" s="42" t="str">
        <f>IFERROR(AVERAGE(Data!C1694), "  ")</f>
        <v xml:space="preserve">  </v>
      </c>
      <c r="D1692" s="42" t="str">
        <f>IFERROR(AVERAGE(Data!D1694), "  ")</f>
        <v xml:space="preserve">  </v>
      </c>
      <c r="E1692" s="42" t="str">
        <f>IFERROR(AVERAGE(Data!E1694), "  ")</f>
        <v xml:space="preserve">  </v>
      </c>
      <c r="F1692" s="42" t="str">
        <f>IFERROR(AVERAGE(Data!F1694), "  ")</f>
        <v xml:space="preserve">  </v>
      </c>
      <c r="G1692" s="42" t="str">
        <f>IFERROR(AVERAGE(Data!G1694), "  ")</f>
        <v xml:space="preserve">  </v>
      </c>
      <c r="H1692" s="44" t="str">
        <f>IFERROR(AVERAGE(Data!H1694), "  ")</f>
        <v xml:space="preserve">  </v>
      </c>
      <c r="I1692" s="44" t="str">
        <f>IFERROR(AVERAGE(Data!I1694), "  ")</f>
        <v xml:space="preserve">  </v>
      </c>
      <c r="J1692" s="42" t="str">
        <f>IFERROR(AVERAGE(Data!J1694), "  ")</f>
        <v xml:space="preserve">  </v>
      </c>
      <c r="K1692" s="44" t="str">
        <f>IFERROR(AVERAGE(Data!K1694), "  ")</f>
        <v xml:space="preserve">  </v>
      </c>
      <c r="L1692" s="45" t="str">
        <f>IFERROR(AVERAGE(Data!L1694), "  ")</f>
        <v xml:space="preserve">  </v>
      </c>
    </row>
    <row r="1693" spans="1:12" x14ac:dyDescent="0.2">
      <c r="A1693" s="43"/>
      <c r="B1693" s="42" t="str">
        <f>IFERROR(AVERAGE(Data!B1695), "  ")</f>
        <v xml:space="preserve">  </v>
      </c>
      <c r="C1693" s="42" t="str">
        <f>IFERROR(AVERAGE(Data!C1695), "  ")</f>
        <v xml:space="preserve">  </v>
      </c>
      <c r="D1693" s="42" t="str">
        <f>IFERROR(AVERAGE(Data!D1695), "  ")</f>
        <v xml:space="preserve">  </v>
      </c>
      <c r="E1693" s="42" t="str">
        <f>IFERROR(AVERAGE(Data!E1695), "  ")</f>
        <v xml:space="preserve">  </v>
      </c>
      <c r="F1693" s="42" t="str">
        <f>IFERROR(AVERAGE(Data!F1695), "  ")</f>
        <v xml:space="preserve">  </v>
      </c>
      <c r="G1693" s="42" t="str">
        <f>IFERROR(AVERAGE(Data!G1695), "  ")</f>
        <v xml:space="preserve">  </v>
      </c>
      <c r="H1693" s="44" t="str">
        <f>IFERROR(AVERAGE(Data!H1695), "  ")</f>
        <v xml:space="preserve">  </v>
      </c>
      <c r="I1693" s="44" t="str">
        <f>IFERROR(AVERAGE(Data!I1695), "  ")</f>
        <v xml:space="preserve">  </v>
      </c>
      <c r="J1693" s="42" t="str">
        <f>IFERROR(AVERAGE(Data!J1695), "  ")</f>
        <v xml:space="preserve">  </v>
      </c>
      <c r="K1693" s="44" t="str">
        <f>IFERROR(AVERAGE(Data!K1695), "  ")</f>
        <v xml:space="preserve">  </v>
      </c>
      <c r="L1693" s="45" t="str">
        <f>IFERROR(AVERAGE(Data!L1695), "  ")</f>
        <v xml:space="preserve">  </v>
      </c>
    </row>
    <row r="1694" spans="1:12" x14ac:dyDescent="0.2">
      <c r="A1694" s="43"/>
      <c r="B1694" s="42" t="str">
        <f>IFERROR(AVERAGE(Data!B1696), "  ")</f>
        <v xml:space="preserve">  </v>
      </c>
      <c r="C1694" s="42" t="str">
        <f>IFERROR(AVERAGE(Data!C1696), "  ")</f>
        <v xml:space="preserve">  </v>
      </c>
      <c r="D1694" s="42" t="str">
        <f>IFERROR(AVERAGE(Data!D1696), "  ")</f>
        <v xml:space="preserve">  </v>
      </c>
      <c r="E1694" s="42" t="str">
        <f>IFERROR(AVERAGE(Data!E1696), "  ")</f>
        <v xml:space="preserve">  </v>
      </c>
      <c r="F1694" s="42" t="str">
        <f>IFERROR(AVERAGE(Data!F1696), "  ")</f>
        <v xml:space="preserve">  </v>
      </c>
      <c r="G1694" s="42" t="str">
        <f>IFERROR(AVERAGE(Data!G1696), "  ")</f>
        <v xml:space="preserve">  </v>
      </c>
      <c r="H1694" s="44" t="str">
        <f>IFERROR(AVERAGE(Data!H1696), "  ")</f>
        <v xml:space="preserve">  </v>
      </c>
      <c r="I1694" s="44" t="str">
        <f>IFERROR(AVERAGE(Data!I1696), "  ")</f>
        <v xml:space="preserve">  </v>
      </c>
      <c r="J1694" s="42" t="str">
        <f>IFERROR(AVERAGE(Data!J1696), "  ")</f>
        <v xml:space="preserve">  </v>
      </c>
      <c r="K1694" s="44" t="str">
        <f>IFERROR(AVERAGE(Data!K1696), "  ")</f>
        <v xml:space="preserve">  </v>
      </c>
      <c r="L1694" s="45" t="str">
        <f>IFERROR(AVERAGE(Data!L1696), "  ")</f>
        <v xml:space="preserve">  </v>
      </c>
    </row>
    <row r="1695" spans="1:12" x14ac:dyDescent="0.2">
      <c r="A1695" s="43"/>
      <c r="B1695" s="42" t="str">
        <f>IFERROR(AVERAGE(Data!B1697), "  ")</f>
        <v xml:space="preserve">  </v>
      </c>
      <c r="C1695" s="42" t="str">
        <f>IFERROR(AVERAGE(Data!C1697), "  ")</f>
        <v xml:space="preserve">  </v>
      </c>
      <c r="D1695" s="42" t="str">
        <f>IFERROR(AVERAGE(Data!D1697), "  ")</f>
        <v xml:space="preserve">  </v>
      </c>
      <c r="E1695" s="42" t="str">
        <f>IFERROR(AVERAGE(Data!E1697), "  ")</f>
        <v xml:space="preserve">  </v>
      </c>
      <c r="F1695" s="42" t="str">
        <f>IFERROR(AVERAGE(Data!F1697), "  ")</f>
        <v xml:space="preserve">  </v>
      </c>
      <c r="G1695" s="42" t="str">
        <f>IFERROR(AVERAGE(Data!G1697), "  ")</f>
        <v xml:space="preserve">  </v>
      </c>
      <c r="H1695" s="44" t="str">
        <f>IFERROR(AVERAGE(Data!H1697), "  ")</f>
        <v xml:space="preserve">  </v>
      </c>
      <c r="I1695" s="44" t="str">
        <f>IFERROR(AVERAGE(Data!I1697), "  ")</f>
        <v xml:space="preserve">  </v>
      </c>
      <c r="J1695" s="42" t="str">
        <f>IFERROR(AVERAGE(Data!J1697), "  ")</f>
        <v xml:space="preserve">  </v>
      </c>
      <c r="K1695" s="44" t="str">
        <f>IFERROR(AVERAGE(Data!K1697), "  ")</f>
        <v xml:space="preserve">  </v>
      </c>
      <c r="L1695" s="45" t="str">
        <f>IFERROR(AVERAGE(Data!L1697), "  ")</f>
        <v xml:space="preserve">  </v>
      </c>
    </row>
    <row r="1696" spans="1:12" x14ac:dyDescent="0.2">
      <c r="A1696" s="43"/>
      <c r="B1696" s="42" t="str">
        <f>IFERROR(AVERAGE(Data!B1698), "  ")</f>
        <v xml:space="preserve">  </v>
      </c>
      <c r="C1696" s="42" t="str">
        <f>IFERROR(AVERAGE(Data!C1698), "  ")</f>
        <v xml:space="preserve">  </v>
      </c>
      <c r="D1696" s="42" t="str">
        <f>IFERROR(AVERAGE(Data!D1698), "  ")</f>
        <v xml:space="preserve">  </v>
      </c>
      <c r="E1696" s="42" t="str">
        <f>IFERROR(AVERAGE(Data!E1698), "  ")</f>
        <v xml:space="preserve">  </v>
      </c>
      <c r="F1696" s="42" t="str">
        <f>IFERROR(AVERAGE(Data!F1698), "  ")</f>
        <v xml:space="preserve">  </v>
      </c>
      <c r="G1696" s="42" t="str">
        <f>IFERROR(AVERAGE(Data!G1698), "  ")</f>
        <v xml:space="preserve">  </v>
      </c>
      <c r="H1696" s="44" t="str">
        <f>IFERROR(AVERAGE(Data!H1698), "  ")</f>
        <v xml:space="preserve">  </v>
      </c>
      <c r="I1696" s="44" t="str">
        <f>IFERROR(AVERAGE(Data!I1698), "  ")</f>
        <v xml:space="preserve">  </v>
      </c>
      <c r="J1696" s="42" t="str">
        <f>IFERROR(AVERAGE(Data!J1698), "  ")</f>
        <v xml:space="preserve">  </v>
      </c>
      <c r="K1696" s="44" t="str">
        <f>IFERROR(AVERAGE(Data!K1698), "  ")</f>
        <v xml:space="preserve">  </v>
      </c>
      <c r="L1696" s="45" t="str">
        <f>IFERROR(AVERAGE(Data!L1698), "  ")</f>
        <v xml:space="preserve">  </v>
      </c>
    </row>
    <row r="1697" spans="1:12" x14ac:dyDescent="0.2">
      <c r="A1697" s="43"/>
      <c r="B1697" s="42" t="str">
        <f>IFERROR(AVERAGE(Data!B1699), "  ")</f>
        <v xml:space="preserve">  </v>
      </c>
      <c r="C1697" s="42" t="str">
        <f>IFERROR(AVERAGE(Data!C1699), "  ")</f>
        <v xml:space="preserve">  </v>
      </c>
      <c r="D1697" s="42" t="str">
        <f>IFERROR(AVERAGE(Data!D1699), "  ")</f>
        <v xml:space="preserve">  </v>
      </c>
      <c r="E1697" s="42" t="str">
        <f>IFERROR(AVERAGE(Data!E1699), "  ")</f>
        <v xml:space="preserve">  </v>
      </c>
      <c r="F1697" s="42" t="str">
        <f>IFERROR(AVERAGE(Data!F1699), "  ")</f>
        <v xml:space="preserve">  </v>
      </c>
      <c r="G1697" s="42" t="str">
        <f>IFERROR(AVERAGE(Data!G1699), "  ")</f>
        <v xml:space="preserve">  </v>
      </c>
      <c r="H1697" s="44" t="str">
        <f>IFERROR(AVERAGE(Data!H1699), "  ")</f>
        <v xml:space="preserve">  </v>
      </c>
      <c r="I1697" s="44" t="str">
        <f>IFERROR(AVERAGE(Data!I1699), "  ")</f>
        <v xml:space="preserve">  </v>
      </c>
      <c r="J1697" s="42" t="str">
        <f>IFERROR(AVERAGE(Data!J1699), "  ")</f>
        <v xml:space="preserve">  </v>
      </c>
      <c r="K1697" s="44" t="str">
        <f>IFERROR(AVERAGE(Data!K1699), "  ")</f>
        <v xml:space="preserve">  </v>
      </c>
      <c r="L1697" s="45" t="str">
        <f>IFERROR(AVERAGE(Data!L1699), "  ")</f>
        <v xml:space="preserve">  </v>
      </c>
    </row>
    <row r="1698" spans="1:12" x14ac:dyDescent="0.2">
      <c r="A1698" s="43"/>
      <c r="B1698" s="42" t="str">
        <f>IFERROR(AVERAGE(Data!B1700), "  ")</f>
        <v xml:space="preserve">  </v>
      </c>
      <c r="C1698" s="42" t="str">
        <f>IFERROR(AVERAGE(Data!C1700), "  ")</f>
        <v xml:space="preserve">  </v>
      </c>
      <c r="D1698" s="42" t="str">
        <f>IFERROR(AVERAGE(Data!D1700), "  ")</f>
        <v xml:space="preserve">  </v>
      </c>
      <c r="E1698" s="42" t="str">
        <f>IFERROR(AVERAGE(Data!E1700), "  ")</f>
        <v xml:space="preserve">  </v>
      </c>
      <c r="F1698" s="42" t="str">
        <f>IFERROR(AVERAGE(Data!F1700), "  ")</f>
        <v xml:space="preserve">  </v>
      </c>
      <c r="G1698" s="42" t="str">
        <f>IFERROR(AVERAGE(Data!G1700), "  ")</f>
        <v xml:space="preserve">  </v>
      </c>
      <c r="H1698" s="44" t="str">
        <f>IFERROR(AVERAGE(Data!H1700), "  ")</f>
        <v xml:space="preserve">  </v>
      </c>
      <c r="I1698" s="44" t="str">
        <f>IFERROR(AVERAGE(Data!I1700), "  ")</f>
        <v xml:space="preserve">  </v>
      </c>
      <c r="J1698" s="42" t="str">
        <f>IFERROR(AVERAGE(Data!J1700), "  ")</f>
        <v xml:space="preserve">  </v>
      </c>
      <c r="K1698" s="44" t="str">
        <f>IFERROR(AVERAGE(Data!K1700), "  ")</f>
        <v xml:space="preserve">  </v>
      </c>
      <c r="L1698" s="45" t="str">
        <f>IFERROR(AVERAGE(Data!L1700), "  ")</f>
        <v xml:space="preserve">  </v>
      </c>
    </row>
    <row r="1699" spans="1:12" x14ac:dyDescent="0.2">
      <c r="A1699" s="43"/>
      <c r="B1699" s="42" t="str">
        <f>IFERROR(AVERAGE(Data!B1701), "  ")</f>
        <v xml:space="preserve">  </v>
      </c>
      <c r="C1699" s="42" t="str">
        <f>IFERROR(AVERAGE(Data!C1701), "  ")</f>
        <v xml:space="preserve">  </v>
      </c>
      <c r="D1699" s="42" t="str">
        <f>IFERROR(AVERAGE(Data!D1701), "  ")</f>
        <v xml:space="preserve">  </v>
      </c>
      <c r="E1699" s="42" t="str">
        <f>IFERROR(AVERAGE(Data!E1701), "  ")</f>
        <v xml:space="preserve">  </v>
      </c>
      <c r="F1699" s="42" t="str">
        <f>IFERROR(AVERAGE(Data!F1701), "  ")</f>
        <v xml:space="preserve">  </v>
      </c>
      <c r="G1699" s="42" t="str">
        <f>IFERROR(AVERAGE(Data!G1701), "  ")</f>
        <v xml:space="preserve">  </v>
      </c>
      <c r="H1699" s="44" t="str">
        <f>IFERROR(AVERAGE(Data!H1701), "  ")</f>
        <v xml:space="preserve">  </v>
      </c>
      <c r="I1699" s="44" t="str">
        <f>IFERROR(AVERAGE(Data!I1701), "  ")</f>
        <v xml:space="preserve">  </v>
      </c>
      <c r="J1699" s="42" t="str">
        <f>IFERROR(AVERAGE(Data!J1701), "  ")</f>
        <v xml:space="preserve">  </v>
      </c>
      <c r="K1699" s="44" t="str">
        <f>IFERROR(AVERAGE(Data!K1701), "  ")</f>
        <v xml:space="preserve">  </v>
      </c>
      <c r="L1699" s="45" t="str">
        <f>IFERROR(AVERAGE(Data!L1701), "  ")</f>
        <v xml:space="preserve">  </v>
      </c>
    </row>
    <row r="1700" spans="1:12" x14ac:dyDescent="0.2">
      <c r="A1700" s="43"/>
      <c r="B1700" s="42" t="str">
        <f>IFERROR(AVERAGE(Data!B1702), "  ")</f>
        <v xml:space="preserve">  </v>
      </c>
      <c r="C1700" s="42" t="str">
        <f>IFERROR(AVERAGE(Data!C1702), "  ")</f>
        <v xml:space="preserve">  </v>
      </c>
      <c r="D1700" s="42" t="str">
        <f>IFERROR(AVERAGE(Data!D1702), "  ")</f>
        <v xml:space="preserve">  </v>
      </c>
      <c r="E1700" s="42" t="str">
        <f>IFERROR(AVERAGE(Data!E1702), "  ")</f>
        <v xml:space="preserve">  </v>
      </c>
      <c r="F1700" s="42" t="str">
        <f>IFERROR(AVERAGE(Data!F1702), "  ")</f>
        <v xml:space="preserve">  </v>
      </c>
      <c r="G1700" s="42" t="str">
        <f>IFERROR(AVERAGE(Data!G1702), "  ")</f>
        <v xml:space="preserve">  </v>
      </c>
      <c r="H1700" s="44" t="str">
        <f>IFERROR(AVERAGE(Data!H1702), "  ")</f>
        <v xml:space="preserve">  </v>
      </c>
      <c r="I1700" s="44" t="str">
        <f>IFERROR(AVERAGE(Data!I1702), "  ")</f>
        <v xml:space="preserve">  </v>
      </c>
      <c r="J1700" s="42" t="str">
        <f>IFERROR(AVERAGE(Data!J1702), "  ")</f>
        <v xml:space="preserve">  </v>
      </c>
      <c r="K1700" s="44" t="str">
        <f>IFERROR(AVERAGE(Data!K1702), "  ")</f>
        <v xml:space="preserve">  </v>
      </c>
      <c r="L1700" s="45" t="str">
        <f>IFERROR(AVERAGE(Data!L1702), "  ")</f>
        <v xml:space="preserve">  </v>
      </c>
    </row>
    <row r="1701" spans="1:12" x14ac:dyDescent="0.2">
      <c r="A1701" s="43"/>
      <c r="B1701" s="42" t="str">
        <f>IFERROR(AVERAGE(Data!B1703), "  ")</f>
        <v xml:space="preserve">  </v>
      </c>
      <c r="C1701" s="42" t="str">
        <f>IFERROR(AVERAGE(Data!C1703), "  ")</f>
        <v xml:space="preserve">  </v>
      </c>
      <c r="D1701" s="42" t="str">
        <f>IFERROR(AVERAGE(Data!D1703), "  ")</f>
        <v xml:space="preserve">  </v>
      </c>
      <c r="E1701" s="42" t="str">
        <f>IFERROR(AVERAGE(Data!E1703), "  ")</f>
        <v xml:space="preserve">  </v>
      </c>
      <c r="F1701" s="42" t="str">
        <f>IFERROR(AVERAGE(Data!F1703), "  ")</f>
        <v xml:space="preserve">  </v>
      </c>
      <c r="G1701" s="42" t="str">
        <f>IFERROR(AVERAGE(Data!G1703), "  ")</f>
        <v xml:space="preserve">  </v>
      </c>
      <c r="H1701" s="44" t="str">
        <f>IFERROR(AVERAGE(Data!H1703), "  ")</f>
        <v xml:space="preserve">  </v>
      </c>
      <c r="I1701" s="44" t="str">
        <f>IFERROR(AVERAGE(Data!I1703), "  ")</f>
        <v xml:space="preserve">  </v>
      </c>
      <c r="J1701" s="42" t="str">
        <f>IFERROR(AVERAGE(Data!J1703), "  ")</f>
        <v xml:space="preserve">  </v>
      </c>
      <c r="K1701" s="44" t="str">
        <f>IFERROR(AVERAGE(Data!K1703), "  ")</f>
        <v xml:space="preserve">  </v>
      </c>
      <c r="L1701" s="45" t="str">
        <f>IFERROR(AVERAGE(Data!L1703), "  ")</f>
        <v xml:space="preserve">  </v>
      </c>
    </row>
    <row r="1702" spans="1:12" x14ac:dyDescent="0.2">
      <c r="A1702" s="43"/>
      <c r="B1702" s="42" t="str">
        <f>IFERROR(AVERAGE(Data!B1704), "  ")</f>
        <v xml:space="preserve">  </v>
      </c>
      <c r="C1702" s="42" t="str">
        <f>IFERROR(AVERAGE(Data!C1704), "  ")</f>
        <v xml:space="preserve">  </v>
      </c>
      <c r="D1702" s="42" t="str">
        <f>IFERROR(AVERAGE(Data!D1704), "  ")</f>
        <v xml:space="preserve">  </v>
      </c>
      <c r="E1702" s="42" t="str">
        <f>IFERROR(AVERAGE(Data!E1704), "  ")</f>
        <v xml:space="preserve">  </v>
      </c>
      <c r="F1702" s="42" t="str">
        <f>IFERROR(AVERAGE(Data!F1704), "  ")</f>
        <v xml:space="preserve">  </v>
      </c>
      <c r="G1702" s="42" t="str">
        <f>IFERROR(AVERAGE(Data!G1704), "  ")</f>
        <v xml:space="preserve">  </v>
      </c>
      <c r="H1702" s="44" t="str">
        <f>IFERROR(AVERAGE(Data!H1704), "  ")</f>
        <v xml:space="preserve">  </v>
      </c>
      <c r="I1702" s="44" t="str">
        <f>IFERROR(AVERAGE(Data!I1704), "  ")</f>
        <v xml:space="preserve">  </v>
      </c>
      <c r="J1702" s="42" t="str">
        <f>IFERROR(AVERAGE(Data!J1704), "  ")</f>
        <v xml:space="preserve">  </v>
      </c>
      <c r="K1702" s="44" t="str">
        <f>IFERROR(AVERAGE(Data!K1704), "  ")</f>
        <v xml:space="preserve">  </v>
      </c>
      <c r="L1702" s="45" t="str">
        <f>IFERROR(AVERAGE(Data!L1704), "  ")</f>
        <v xml:space="preserve">  </v>
      </c>
    </row>
    <row r="1703" spans="1:12" x14ac:dyDescent="0.2">
      <c r="A1703" s="43"/>
      <c r="B1703" s="42" t="str">
        <f>IFERROR(AVERAGE(Data!B1705), "  ")</f>
        <v xml:space="preserve">  </v>
      </c>
      <c r="C1703" s="42" t="str">
        <f>IFERROR(AVERAGE(Data!C1705), "  ")</f>
        <v xml:space="preserve">  </v>
      </c>
      <c r="D1703" s="42" t="str">
        <f>IFERROR(AVERAGE(Data!D1705), "  ")</f>
        <v xml:space="preserve">  </v>
      </c>
      <c r="E1703" s="42" t="str">
        <f>IFERROR(AVERAGE(Data!E1705), "  ")</f>
        <v xml:space="preserve">  </v>
      </c>
      <c r="F1703" s="42" t="str">
        <f>IFERROR(AVERAGE(Data!F1705), "  ")</f>
        <v xml:space="preserve">  </v>
      </c>
      <c r="G1703" s="42" t="str">
        <f>IFERROR(AVERAGE(Data!G1705), "  ")</f>
        <v xml:space="preserve">  </v>
      </c>
      <c r="H1703" s="44" t="str">
        <f>IFERROR(AVERAGE(Data!H1705), "  ")</f>
        <v xml:space="preserve">  </v>
      </c>
      <c r="I1703" s="44" t="str">
        <f>IFERROR(AVERAGE(Data!I1705), "  ")</f>
        <v xml:space="preserve">  </v>
      </c>
      <c r="J1703" s="42" t="str">
        <f>IFERROR(AVERAGE(Data!J1705), "  ")</f>
        <v xml:space="preserve">  </v>
      </c>
      <c r="K1703" s="44" t="str">
        <f>IFERROR(AVERAGE(Data!K1705), "  ")</f>
        <v xml:space="preserve">  </v>
      </c>
      <c r="L1703" s="45" t="str">
        <f>IFERROR(AVERAGE(Data!L1705), "  ")</f>
        <v xml:space="preserve">  </v>
      </c>
    </row>
    <row r="1704" spans="1:12" x14ac:dyDescent="0.2">
      <c r="A1704" s="43"/>
      <c r="B1704" s="42" t="str">
        <f>IFERROR(AVERAGE(Data!B1706), "  ")</f>
        <v xml:space="preserve">  </v>
      </c>
      <c r="C1704" s="42" t="str">
        <f>IFERROR(AVERAGE(Data!C1706), "  ")</f>
        <v xml:space="preserve">  </v>
      </c>
      <c r="D1704" s="42" t="str">
        <f>IFERROR(AVERAGE(Data!D1706), "  ")</f>
        <v xml:space="preserve">  </v>
      </c>
      <c r="E1704" s="42" t="str">
        <f>IFERROR(AVERAGE(Data!E1706), "  ")</f>
        <v xml:space="preserve">  </v>
      </c>
      <c r="F1704" s="42" t="str">
        <f>IFERROR(AVERAGE(Data!F1706), "  ")</f>
        <v xml:space="preserve">  </v>
      </c>
      <c r="G1704" s="42" t="str">
        <f>IFERROR(AVERAGE(Data!G1706), "  ")</f>
        <v xml:space="preserve">  </v>
      </c>
      <c r="H1704" s="44" t="str">
        <f>IFERROR(AVERAGE(Data!H1706), "  ")</f>
        <v xml:space="preserve">  </v>
      </c>
      <c r="I1704" s="44" t="str">
        <f>IFERROR(AVERAGE(Data!I1706), "  ")</f>
        <v xml:space="preserve">  </v>
      </c>
      <c r="J1704" s="42" t="str">
        <f>IFERROR(AVERAGE(Data!J1706), "  ")</f>
        <v xml:space="preserve">  </v>
      </c>
      <c r="K1704" s="44" t="str">
        <f>IFERROR(AVERAGE(Data!K1706), "  ")</f>
        <v xml:space="preserve">  </v>
      </c>
      <c r="L1704" s="45" t="str">
        <f>IFERROR(AVERAGE(Data!L1706), "  ")</f>
        <v xml:space="preserve">  </v>
      </c>
    </row>
    <row r="1705" spans="1:12" x14ac:dyDescent="0.2">
      <c r="A1705" s="43"/>
      <c r="B1705" s="42" t="str">
        <f>IFERROR(AVERAGE(Data!B1707), "  ")</f>
        <v xml:space="preserve">  </v>
      </c>
      <c r="C1705" s="42" t="str">
        <f>IFERROR(AVERAGE(Data!C1707), "  ")</f>
        <v xml:space="preserve">  </v>
      </c>
      <c r="D1705" s="42" t="str">
        <f>IFERROR(AVERAGE(Data!D1707), "  ")</f>
        <v xml:space="preserve">  </v>
      </c>
      <c r="E1705" s="42" t="str">
        <f>IFERROR(AVERAGE(Data!E1707), "  ")</f>
        <v xml:space="preserve">  </v>
      </c>
      <c r="F1705" s="42" t="str">
        <f>IFERROR(AVERAGE(Data!F1707), "  ")</f>
        <v xml:space="preserve">  </v>
      </c>
      <c r="G1705" s="42" t="str">
        <f>IFERROR(AVERAGE(Data!G1707), "  ")</f>
        <v xml:space="preserve">  </v>
      </c>
      <c r="H1705" s="44" t="str">
        <f>IFERROR(AVERAGE(Data!H1707), "  ")</f>
        <v xml:space="preserve">  </v>
      </c>
      <c r="I1705" s="44" t="str">
        <f>IFERROR(AVERAGE(Data!I1707), "  ")</f>
        <v xml:space="preserve">  </v>
      </c>
      <c r="J1705" s="42" t="str">
        <f>IFERROR(AVERAGE(Data!J1707), "  ")</f>
        <v xml:space="preserve">  </v>
      </c>
      <c r="K1705" s="44" t="str">
        <f>IFERROR(AVERAGE(Data!K1707), "  ")</f>
        <v xml:space="preserve">  </v>
      </c>
      <c r="L1705" s="45" t="str">
        <f>IFERROR(AVERAGE(Data!L1707), "  ")</f>
        <v xml:space="preserve">  </v>
      </c>
    </row>
    <row r="1706" spans="1:12" x14ac:dyDescent="0.2">
      <c r="A1706" s="43"/>
      <c r="B1706" s="42" t="str">
        <f>IFERROR(AVERAGE(Data!B1708), "  ")</f>
        <v xml:space="preserve">  </v>
      </c>
      <c r="C1706" s="42" t="str">
        <f>IFERROR(AVERAGE(Data!C1708), "  ")</f>
        <v xml:space="preserve">  </v>
      </c>
      <c r="D1706" s="42" t="str">
        <f>IFERROR(AVERAGE(Data!D1708), "  ")</f>
        <v xml:space="preserve">  </v>
      </c>
      <c r="E1706" s="42" t="str">
        <f>IFERROR(AVERAGE(Data!E1708), "  ")</f>
        <v xml:space="preserve">  </v>
      </c>
      <c r="F1706" s="42" t="str">
        <f>IFERROR(AVERAGE(Data!F1708), "  ")</f>
        <v xml:space="preserve">  </v>
      </c>
      <c r="G1706" s="42" t="str">
        <f>IFERROR(AVERAGE(Data!G1708), "  ")</f>
        <v xml:space="preserve">  </v>
      </c>
      <c r="H1706" s="44" t="str">
        <f>IFERROR(AVERAGE(Data!H1708), "  ")</f>
        <v xml:space="preserve">  </v>
      </c>
      <c r="I1706" s="44" t="str">
        <f>IFERROR(AVERAGE(Data!I1708), "  ")</f>
        <v xml:space="preserve">  </v>
      </c>
      <c r="J1706" s="42" t="str">
        <f>IFERROR(AVERAGE(Data!J1708), "  ")</f>
        <v xml:space="preserve">  </v>
      </c>
      <c r="K1706" s="44" t="str">
        <f>IFERROR(AVERAGE(Data!K1708), "  ")</f>
        <v xml:space="preserve">  </v>
      </c>
      <c r="L1706" s="45" t="str">
        <f>IFERROR(AVERAGE(Data!L1708), "  ")</f>
        <v xml:space="preserve">  </v>
      </c>
    </row>
    <row r="1707" spans="1:12" x14ac:dyDescent="0.2">
      <c r="A1707" s="43"/>
      <c r="B1707" s="42" t="str">
        <f>IFERROR(AVERAGE(Data!B1709), "  ")</f>
        <v xml:space="preserve">  </v>
      </c>
      <c r="C1707" s="42" t="str">
        <f>IFERROR(AVERAGE(Data!C1709), "  ")</f>
        <v xml:space="preserve">  </v>
      </c>
      <c r="D1707" s="42" t="str">
        <f>IFERROR(AVERAGE(Data!D1709), "  ")</f>
        <v xml:space="preserve">  </v>
      </c>
      <c r="E1707" s="42" t="str">
        <f>IFERROR(AVERAGE(Data!E1709), "  ")</f>
        <v xml:space="preserve">  </v>
      </c>
      <c r="F1707" s="42" t="str">
        <f>IFERROR(AVERAGE(Data!F1709), "  ")</f>
        <v xml:space="preserve">  </v>
      </c>
      <c r="G1707" s="42" t="str">
        <f>IFERROR(AVERAGE(Data!G1709), "  ")</f>
        <v xml:space="preserve">  </v>
      </c>
      <c r="H1707" s="44" t="str">
        <f>IFERROR(AVERAGE(Data!H1709), "  ")</f>
        <v xml:space="preserve">  </v>
      </c>
      <c r="I1707" s="44" t="str">
        <f>IFERROR(AVERAGE(Data!I1709), "  ")</f>
        <v xml:space="preserve">  </v>
      </c>
      <c r="J1707" s="42" t="str">
        <f>IFERROR(AVERAGE(Data!J1709), "  ")</f>
        <v xml:space="preserve">  </v>
      </c>
      <c r="K1707" s="44" t="str">
        <f>IFERROR(AVERAGE(Data!K1709), "  ")</f>
        <v xml:space="preserve">  </v>
      </c>
      <c r="L1707" s="45" t="str">
        <f>IFERROR(AVERAGE(Data!L1709), "  ")</f>
        <v xml:space="preserve">  </v>
      </c>
    </row>
    <row r="1708" spans="1:12" x14ac:dyDescent="0.2">
      <c r="A1708" s="43"/>
      <c r="B1708" s="42" t="str">
        <f>IFERROR(AVERAGE(Data!B1710), "  ")</f>
        <v xml:space="preserve">  </v>
      </c>
      <c r="C1708" s="42" t="str">
        <f>IFERROR(AVERAGE(Data!C1710), "  ")</f>
        <v xml:space="preserve">  </v>
      </c>
      <c r="D1708" s="42" t="str">
        <f>IFERROR(AVERAGE(Data!D1710), "  ")</f>
        <v xml:space="preserve">  </v>
      </c>
      <c r="E1708" s="42" t="str">
        <f>IFERROR(AVERAGE(Data!E1710), "  ")</f>
        <v xml:space="preserve">  </v>
      </c>
      <c r="F1708" s="42" t="str">
        <f>IFERROR(AVERAGE(Data!F1710), "  ")</f>
        <v xml:space="preserve">  </v>
      </c>
      <c r="G1708" s="42" t="str">
        <f>IFERROR(AVERAGE(Data!G1710), "  ")</f>
        <v xml:space="preserve">  </v>
      </c>
      <c r="H1708" s="44" t="str">
        <f>IFERROR(AVERAGE(Data!H1710), "  ")</f>
        <v xml:space="preserve">  </v>
      </c>
      <c r="I1708" s="44" t="str">
        <f>IFERROR(AVERAGE(Data!I1710), "  ")</f>
        <v xml:space="preserve">  </v>
      </c>
      <c r="J1708" s="42" t="str">
        <f>IFERROR(AVERAGE(Data!J1710), "  ")</f>
        <v xml:space="preserve">  </v>
      </c>
      <c r="K1708" s="44" t="str">
        <f>IFERROR(AVERAGE(Data!K1710), "  ")</f>
        <v xml:space="preserve">  </v>
      </c>
      <c r="L1708" s="45" t="str">
        <f>IFERROR(AVERAGE(Data!L1710), "  ")</f>
        <v xml:space="preserve">  </v>
      </c>
    </row>
    <row r="1709" spans="1:12" x14ac:dyDescent="0.2">
      <c r="A1709" s="43"/>
      <c r="B1709" s="42" t="str">
        <f>IFERROR(AVERAGE(Data!B1711), "  ")</f>
        <v xml:space="preserve">  </v>
      </c>
      <c r="C1709" s="42" t="str">
        <f>IFERROR(AVERAGE(Data!C1711), "  ")</f>
        <v xml:space="preserve">  </v>
      </c>
      <c r="D1709" s="42" t="str">
        <f>IFERROR(AVERAGE(Data!D1711), "  ")</f>
        <v xml:space="preserve">  </v>
      </c>
      <c r="E1709" s="42" t="str">
        <f>IFERROR(AVERAGE(Data!E1711), "  ")</f>
        <v xml:space="preserve">  </v>
      </c>
      <c r="F1709" s="42" t="str">
        <f>IFERROR(AVERAGE(Data!F1711), "  ")</f>
        <v xml:space="preserve">  </v>
      </c>
      <c r="G1709" s="42" t="str">
        <f>IFERROR(AVERAGE(Data!G1711), "  ")</f>
        <v xml:space="preserve">  </v>
      </c>
      <c r="H1709" s="44" t="str">
        <f>IFERROR(AVERAGE(Data!H1711), "  ")</f>
        <v xml:space="preserve">  </v>
      </c>
      <c r="I1709" s="44" t="str">
        <f>IFERROR(AVERAGE(Data!I1711), "  ")</f>
        <v xml:space="preserve">  </v>
      </c>
      <c r="J1709" s="42" t="str">
        <f>IFERROR(AVERAGE(Data!J1711), "  ")</f>
        <v xml:space="preserve">  </v>
      </c>
      <c r="K1709" s="44" t="str">
        <f>IFERROR(AVERAGE(Data!K1711), "  ")</f>
        <v xml:space="preserve">  </v>
      </c>
      <c r="L1709" s="45" t="str">
        <f>IFERROR(AVERAGE(Data!L1711), "  ")</f>
        <v xml:space="preserve">  </v>
      </c>
    </row>
    <row r="1710" spans="1:12" x14ac:dyDescent="0.2">
      <c r="A1710" s="43"/>
      <c r="B1710" s="42" t="str">
        <f>IFERROR(AVERAGE(Data!B1712), "  ")</f>
        <v xml:space="preserve">  </v>
      </c>
      <c r="C1710" s="42" t="str">
        <f>IFERROR(AVERAGE(Data!C1712), "  ")</f>
        <v xml:space="preserve">  </v>
      </c>
      <c r="D1710" s="42" t="str">
        <f>IFERROR(AVERAGE(Data!D1712), "  ")</f>
        <v xml:space="preserve">  </v>
      </c>
      <c r="E1710" s="42" t="str">
        <f>IFERROR(AVERAGE(Data!E1712), "  ")</f>
        <v xml:space="preserve">  </v>
      </c>
      <c r="F1710" s="42" t="str">
        <f>IFERROR(AVERAGE(Data!F1712), "  ")</f>
        <v xml:space="preserve">  </v>
      </c>
      <c r="G1710" s="42" t="str">
        <f>IFERROR(AVERAGE(Data!G1712), "  ")</f>
        <v xml:space="preserve">  </v>
      </c>
      <c r="H1710" s="44" t="str">
        <f>IFERROR(AVERAGE(Data!H1712), "  ")</f>
        <v xml:space="preserve">  </v>
      </c>
      <c r="I1710" s="44" t="str">
        <f>IFERROR(AVERAGE(Data!I1712), "  ")</f>
        <v xml:space="preserve">  </v>
      </c>
      <c r="J1710" s="42" t="str">
        <f>IFERROR(AVERAGE(Data!J1712), "  ")</f>
        <v xml:space="preserve">  </v>
      </c>
      <c r="K1710" s="44" t="str">
        <f>IFERROR(AVERAGE(Data!K1712), "  ")</f>
        <v xml:space="preserve">  </v>
      </c>
      <c r="L1710" s="45" t="str">
        <f>IFERROR(AVERAGE(Data!L1712), "  ")</f>
        <v xml:space="preserve">  </v>
      </c>
    </row>
    <row r="1711" spans="1:12" x14ac:dyDescent="0.2">
      <c r="A1711" s="43"/>
      <c r="B1711" s="42" t="str">
        <f>IFERROR(AVERAGE(Data!B1713), "  ")</f>
        <v xml:space="preserve">  </v>
      </c>
      <c r="C1711" s="42" t="str">
        <f>IFERROR(AVERAGE(Data!C1713), "  ")</f>
        <v xml:space="preserve">  </v>
      </c>
      <c r="D1711" s="42" t="str">
        <f>IFERROR(AVERAGE(Data!D1713), "  ")</f>
        <v xml:space="preserve">  </v>
      </c>
      <c r="E1711" s="42" t="str">
        <f>IFERROR(AVERAGE(Data!E1713), "  ")</f>
        <v xml:space="preserve">  </v>
      </c>
      <c r="F1711" s="42" t="str">
        <f>IFERROR(AVERAGE(Data!F1713), "  ")</f>
        <v xml:space="preserve">  </v>
      </c>
      <c r="G1711" s="42" t="str">
        <f>IFERROR(AVERAGE(Data!G1713), "  ")</f>
        <v xml:space="preserve">  </v>
      </c>
      <c r="H1711" s="44" t="str">
        <f>IFERROR(AVERAGE(Data!H1713), "  ")</f>
        <v xml:space="preserve">  </v>
      </c>
      <c r="I1711" s="44" t="str">
        <f>IFERROR(AVERAGE(Data!I1713), "  ")</f>
        <v xml:space="preserve">  </v>
      </c>
      <c r="J1711" s="42" t="str">
        <f>IFERROR(AVERAGE(Data!J1713), "  ")</f>
        <v xml:space="preserve">  </v>
      </c>
      <c r="K1711" s="44" t="str">
        <f>IFERROR(AVERAGE(Data!K1713), "  ")</f>
        <v xml:space="preserve">  </v>
      </c>
      <c r="L1711" s="45" t="str">
        <f>IFERROR(AVERAGE(Data!L1713), "  ")</f>
        <v xml:space="preserve">  </v>
      </c>
    </row>
    <row r="1712" spans="1:12" x14ac:dyDescent="0.2">
      <c r="A1712" s="43"/>
      <c r="B1712" s="42" t="str">
        <f>IFERROR(AVERAGE(Data!B1714), "  ")</f>
        <v xml:space="preserve">  </v>
      </c>
      <c r="C1712" s="42" t="str">
        <f>IFERROR(AVERAGE(Data!C1714), "  ")</f>
        <v xml:space="preserve">  </v>
      </c>
      <c r="D1712" s="42" t="str">
        <f>IFERROR(AVERAGE(Data!D1714), "  ")</f>
        <v xml:space="preserve">  </v>
      </c>
      <c r="E1712" s="42" t="str">
        <f>IFERROR(AVERAGE(Data!E1714), "  ")</f>
        <v xml:space="preserve">  </v>
      </c>
      <c r="F1712" s="42" t="str">
        <f>IFERROR(AVERAGE(Data!F1714), "  ")</f>
        <v xml:space="preserve">  </v>
      </c>
      <c r="G1712" s="42" t="str">
        <f>IFERROR(AVERAGE(Data!G1714), "  ")</f>
        <v xml:space="preserve">  </v>
      </c>
      <c r="H1712" s="44" t="str">
        <f>IFERROR(AVERAGE(Data!H1714), "  ")</f>
        <v xml:space="preserve">  </v>
      </c>
      <c r="I1712" s="44" t="str">
        <f>IFERROR(AVERAGE(Data!I1714), "  ")</f>
        <v xml:space="preserve">  </v>
      </c>
      <c r="J1712" s="42" t="str">
        <f>IFERROR(AVERAGE(Data!J1714), "  ")</f>
        <v xml:space="preserve">  </v>
      </c>
      <c r="K1712" s="44" t="str">
        <f>IFERROR(AVERAGE(Data!K1714), "  ")</f>
        <v xml:space="preserve">  </v>
      </c>
      <c r="L1712" s="45" t="str">
        <f>IFERROR(AVERAGE(Data!L1714), "  ")</f>
        <v xml:space="preserve">  </v>
      </c>
    </row>
    <row r="1713" spans="1:12" x14ac:dyDescent="0.2">
      <c r="A1713" s="43"/>
      <c r="B1713" s="42" t="str">
        <f>IFERROR(AVERAGE(Data!B1715), "  ")</f>
        <v xml:space="preserve">  </v>
      </c>
      <c r="C1713" s="42" t="str">
        <f>IFERROR(AVERAGE(Data!C1715), "  ")</f>
        <v xml:space="preserve">  </v>
      </c>
      <c r="D1713" s="42" t="str">
        <f>IFERROR(AVERAGE(Data!D1715), "  ")</f>
        <v xml:space="preserve">  </v>
      </c>
      <c r="E1713" s="42" t="str">
        <f>IFERROR(AVERAGE(Data!E1715), "  ")</f>
        <v xml:space="preserve">  </v>
      </c>
      <c r="F1713" s="42" t="str">
        <f>IFERROR(AVERAGE(Data!F1715), "  ")</f>
        <v xml:space="preserve">  </v>
      </c>
      <c r="G1713" s="42" t="str">
        <f>IFERROR(AVERAGE(Data!G1715), "  ")</f>
        <v xml:space="preserve">  </v>
      </c>
      <c r="H1713" s="44" t="str">
        <f>IFERROR(AVERAGE(Data!H1715), "  ")</f>
        <v xml:space="preserve">  </v>
      </c>
      <c r="I1713" s="44" t="str">
        <f>IFERROR(AVERAGE(Data!I1715), "  ")</f>
        <v xml:space="preserve">  </v>
      </c>
      <c r="J1713" s="42" t="str">
        <f>IFERROR(AVERAGE(Data!J1715), "  ")</f>
        <v xml:space="preserve">  </v>
      </c>
      <c r="K1713" s="44" t="str">
        <f>IFERROR(AVERAGE(Data!K1715), "  ")</f>
        <v xml:space="preserve">  </v>
      </c>
      <c r="L1713" s="45" t="str">
        <f>IFERROR(AVERAGE(Data!L1715), "  ")</f>
        <v xml:space="preserve">  </v>
      </c>
    </row>
    <row r="1714" spans="1:12" x14ac:dyDescent="0.2">
      <c r="A1714" s="43"/>
      <c r="B1714" s="42" t="str">
        <f>IFERROR(AVERAGE(Data!B1716), "  ")</f>
        <v xml:space="preserve">  </v>
      </c>
      <c r="C1714" s="42" t="str">
        <f>IFERROR(AVERAGE(Data!C1716), "  ")</f>
        <v xml:space="preserve">  </v>
      </c>
      <c r="D1714" s="42" t="str">
        <f>IFERROR(AVERAGE(Data!D1716), "  ")</f>
        <v xml:space="preserve">  </v>
      </c>
      <c r="E1714" s="42" t="str">
        <f>IFERROR(AVERAGE(Data!E1716), "  ")</f>
        <v xml:space="preserve">  </v>
      </c>
      <c r="F1714" s="42" t="str">
        <f>IFERROR(AVERAGE(Data!F1716), "  ")</f>
        <v xml:space="preserve">  </v>
      </c>
      <c r="G1714" s="42" t="str">
        <f>IFERROR(AVERAGE(Data!G1716), "  ")</f>
        <v xml:space="preserve">  </v>
      </c>
      <c r="H1714" s="44" t="str">
        <f>IFERROR(AVERAGE(Data!H1716), "  ")</f>
        <v xml:space="preserve">  </v>
      </c>
      <c r="I1714" s="44" t="str">
        <f>IFERROR(AVERAGE(Data!I1716), "  ")</f>
        <v xml:space="preserve">  </v>
      </c>
      <c r="J1714" s="42" t="str">
        <f>IFERROR(AVERAGE(Data!J1716), "  ")</f>
        <v xml:space="preserve">  </v>
      </c>
      <c r="K1714" s="44" t="str">
        <f>IFERROR(AVERAGE(Data!K1716), "  ")</f>
        <v xml:space="preserve">  </v>
      </c>
      <c r="L1714" s="45" t="str">
        <f>IFERROR(AVERAGE(Data!L1716), "  ")</f>
        <v xml:space="preserve">  </v>
      </c>
    </row>
    <row r="1715" spans="1:12" x14ac:dyDescent="0.2">
      <c r="A1715" s="43"/>
      <c r="B1715" s="42" t="str">
        <f>IFERROR(AVERAGE(Data!B1717), "  ")</f>
        <v xml:space="preserve">  </v>
      </c>
      <c r="C1715" s="42" t="str">
        <f>IFERROR(AVERAGE(Data!C1717), "  ")</f>
        <v xml:space="preserve">  </v>
      </c>
      <c r="D1715" s="42" t="str">
        <f>IFERROR(AVERAGE(Data!D1717), "  ")</f>
        <v xml:space="preserve">  </v>
      </c>
      <c r="E1715" s="42" t="str">
        <f>IFERROR(AVERAGE(Data!E1717), "  ")</f>
        <v xml:space="preserve">  </v>
      </c>
      <c r="F1715" s="42" t="str">
        <f>IFERROR(AVERAGE(Data!F1717), "  ")</f>
        <v xml:space="preserve">  </v>
      </c>
      <c r="G1715" s="42" t="str">
        <f>IFERROR(AVERAGE(Data!G1717), "  ")</f>
        <v xml:space="preserve">  </v>
      </c>
      <c r="H1715" s="44" t="str">
        <f>IFERROR(AVERAGE(Data!H1717), "  ")</f>
        <v xml:space="preserve">  </v>
      </c>
      <c r="I1715" s="44" t="str">
        <f>IFERROR(AVERAGE(Data!I1717), "  ")</f>
        <v xml:space="preserve">  </v>
      </c>
      <c r="J1715" s="42" t="str">
        <f>IFERROR(AVERAGE(Data!J1717), "  ")</f>
        <v xml:space="preserve">  </v>
      </c>
      <c r="K1715" s="44" t="str">
        <f>IFERROR(AVERAGE(Data!K1717), "  ")</f>
        <v xml:space="preserve">  </v>
      </c>
      <c r="L1715" s="45" t="str">
        <f>IFERROR(AVERAGE(Data!L1717), "  ")</f>
        <v xml:space="preserve">  </v>
      </c>
    </row>
    <row r="1716" spans="1:12" x14ac:dyDescent="0.2">
      <c r="A1716" s="43"/>
      <c r="B1716" s="42" t="str">
        <f>IFERROR(AVERAGE(Data!B1718), "  ")</f>
        <v xml:space="preserve">  </v>
      </c>
      <c r="C1716" s="42" t="str">
        <f>IFERROR(AVERAGE(Data!C1718), "  ")</f>
        <v xml:space="preserve">  </v>
      </c>
      <c r="D1716" s="42" t="str">
        <f>IFERROR(AVERAGE(Data!D1718), "  ")</f>
        <v xml:space="preserve">  </v>
      </c>
      <c r="E1716" s="42" t="str">
        <f>IFERROR(AVERAGE(Data!E1718), "  ")</f>
        <v xml:space="preserve">  </v>
      </c>
      <c r="F1716" s="42" t="str">
        <f>IFERROR(AVERAGE(Data!F1718), "  ")</f>
        <v xml:space="preserve">  </v>
      </c>
      <c r="G1716" s="42" t="str">
        <f>IFERROR(AVERAGE(Data!G1718), "  ")</f>
        <v xml:space="preserve">  </v>
      </c>
      <c r="H1716" s="44" t="str">
        <f>IFERROR(AVERAGE(Data!H1718), "  ")</f>
        <v xml:space="preserve">  </v>
      </c>
      <c r="I1716" s="44" t="str">
        <f>IFERROR(AVERAGE(Data!I1718), "  ")</f>
        <v xml:space="preserve">  </v>
      </c>
      <c r="J1716" s="42" t="str">
        <f>IFERROR(AVERAGE(Data!J1718), "  ")</f>
        <v xml:space="preserve">  </v>
      </c>
      <c r="K1716" s="44" t="str">
        <f>IFERROR(AVERAGE(Data!K1718), "  ")</f>
        <v xml:space="preserve">  </v>
      </c>
      <c r="L1716" s="45" t="str">
        <f>IFERROR(AVERAGE(Data!L1718), "  ")</f>
        <v xml:space="preserve">  </v>
      </c>
    </row>
    <row r="1717" spans="1:12" x14ac:dyDescent="0.2">
      <c r="A1717" s="43"/>
      <c r="B1717" s="42" t="str">
        <f>IFERROR(AVERAGE(Data!B1719), "  ")</f>
        <v xml:space="preserve">  </v>
      </c>
      <c r="C1717" s="42" t="str">
        <f>IFERROR(AVERAGE(Data!C1719), "  ")</f>
        <v xml:space="preserve">  </v>
      </c>
      <c r="D1717" s="42" t="str">
        <f>IFERROR(AVERAGE(Data!D1719), "  ")</f>
        <v xml:space="preserve">  </v>
      </c>
      <c r="E1717" s="42" t="str">
        <f>IFERROR(AVERAGE(Data!E1719), "  ")</f>
        <v xml:space="preserve">  </v>
      </c>
      <c r="F1717" s="42" t="str">
        <f>IFERROR(AVERAGE(Data!F1719), "  ")</f>
        <v xml:space="preserve">  </v>
      </c>
      <c r="G1717" s="42" t="str">
        <f>IFERROR(AVERAGE(Data!G1719), "  ")</f>
        <v xml:space="preserve">  </v>
      </c>
      <c r="H1717" s="44" t="str">
        <f>IFERROR(AVERAGE(Data!H1719), "  ")</f>
        <v xml:space="preserve">  </v>
      </c>
      <c r="I1717" s="44" t="str">
        <f>IFERROR(AVERAGE(Data!I1719), "  ")</f>
        <v xml:space="preserve">  </v>
      </c>
      <c r="J1717" s="42" t="str">
        <f>IFERROR(AVERAGE(Data!J1719), "  ")</f>
        <v xml:space="preserve">  </v>
      </c>
      <c r="K1717" s="44" t="str">
        <f>IFERROR(AVERAGE(Data!K1719), "  ")</f>
        <v xml:space="preserve">  </v>
      </c>
      <c r="L1717" s="45" t="str">
        <f>IFERROR(AVERAGE(Data!L1719), "  ")</f>
        <v xml:space="preserve">  </v>
      </c>
    </row>
    <row r="1718" spans="1:12" x14ac:dyDescent="0.2">
      <c r="A1718" s="43"/>
      <c r="B1718" s="42" t="str">
        <f>IFERROR(AVERAGE(Data!B1720), "  ")</f>
        <v xml:space="preserve">  </v>
      </c>
      <c r="C1718" s="42" t="str">
        <f>IFERROR(AVERAGE(Data!C1720), "  ")</f>
        <v xml:space="preserve">  </v>
      </c>
      <c r="D1718" s="42" t="str">
        <f>IFERROR(AVERAGE(Data!D1720), "  ")</f>
        <v xml:space="preserve">  </v>
      </c>
      <c r="E1718" s="42" t="str">
        <f>IFERROR(AVERAGE(Data!E1720), "  ")</f>
        <v xml:space="preserve">  </v>
      </c>
      <c r="F1718" s="42" t="str">
        <f>IFERROR(AVERAGE(Data!F1720), "  ")</f>
        <v xml:space="preserve">  </v>
      </c>
      <c r="G1718" s="42" t="str">
        <f>IFERROR(AVERAGE(Data!G1720), "  ")</f>
        <v xml:space="preserve">  </v>
      </c>
      <c r="H1718" s="44" t="str">
        <f>IFERROR(AVERAGE(Data!H1720), "  ")</f>
        <v xml:space="preserve">  </v>
      </c>
      <c r="I1718" s="44" t="str">
        <f>IFERROR(AVERAGE(Data!I1720), "  ")</f>
        <v xml:space="preserve">  </v>
      </c>
      <c r="J1718" s="42" t="str">
        <f>IFERROR(AVERAGE(Data!J1720), "  ")</f>
        <v xml:space="preserve">  </v>
      </c>
      <c r="K1718" s="44" t="str">
        <f>IFERROR(AVERAGE(Data!K1720), "  ")</f>
        <v xml:space="preserve">  </v>
      </c>
      <c r="L1718" s="45" t="str">
        <f>IFERROR(AVERAGE(Data!L1720), "  ")</f>
        <v xml:space="preserve">  </v>
      </c>
    </row>
    <row r="1719" spans="1:12" x14ac:dyDescent="0.2">
      <c r="A1719" s="43"/>
      <c r="B1719" s="42" t="str">
        <f>IFERROR(AVERAGE(Data!B1721), "  ")</f>
        <v xml:space="preserve">  </v>
      </c>
      <c r="C1719" s="42" t="str">
        <f>IFERROR(AVERAGE(Data!C1721), "  ")</f>
        <v xml:space="preserve">  </v>
      </c>
      <c r="D1719" s="42" t="str">
        <f>IFERROR(AVERAGE(Data!D1721), "  ")</f>
        <v xml:space="preserve">  </v>
      </c>
      <c r="E1719" s="42" t="str">
        <f>IFERROR(AVERAGE(Data!E1721), "  ")</f>
        <v xml:space="preserve">  </v>
      </c>
      <c r="F1719" s="42" t="str">
        <f>IFERROR(AVERAGE(Data!F1721), "  ")</f>
        <v xml:space="preserve">  </v>
      </c>
      <c r="G1719" s="42" t="str">
        <f>IFERROR(AVERAGE(Data!G1721), "  ")</f>
        <v xml:space="preserve">  </v>
      </c>
      <c r="H1719" s="44" t="str">
        <f>IFERROR(AVERAGE(Data!H1721), "  ")</f>
        <v xml:space="preserve">  </v>
      </c>
      <c r="I1719" s="44" t="str">
        <f>IFERROR(AVERAGE(Data!I1721), "  ")</f>
        <v xml:space="preserve">  </v>
      </c>
      <c r="J1719" s="42" t="str">
        <f>IFERROR(AVERAGE(Data!J1721), "  ")</f>
        <v xml:space="preserve">  </v>
      </c>
      <c r="K1719" s="44" t="str">
        <f>IFERROR(AVERAGE(Data!K1721), "  ")</f>
        <v xml:space="preserve">  </v>
      </c>
      <c r="L1719" s="45" t="str">
        <f>IFERROR(AVERAGE(Data!L1721), "  ")</f>
        <v xml:space="preserve">  </v>
      </c>
    </row>
    <row r="1720" spans="1:12" x14ac:dyDescent="0.2">
      <c r="A1720" s="43"/>
      <c r="B1720" s="42" t="str">
        <f>IFERROR(AVERAGE(Data!B1722), "  ")</f>
        <v xml:space="preserve">  </v>
      </c>
      <c r="C1720" s="42" t="str">
        <f>IFERROR(AVERAGE(Data!C1722), "  ")</f>
        <v xml:space="preserve">  </v>
      </c>
      <c r="D1720" s="42" t="str">
        <f>IFERROR(AVERAGE(Data!D1722), "  ")</f>
        <v xml:space="preserve">  </v>
      </c>
      <c r="E1720" s="42" t="str">
        <f>IFERROR(AVERAGE(Data!E1722), "  ")</f>
        <v xml:space="preserve">  </v>
      </c>
      <c r="F1720" s="42" t="str">
        <f>IFERROR(AVERAGE(Data!F1722), "  ")</f>
        <v xml:space="preserve">  </v>
      </c>
      <c r="G1720" s="42" t="str">
        <f>IFERROR(AVERAGE(Data!G1722), "  ")</f>
        <v xml:space="preserve">  </v>
      </c>
      <c r="H1720" s="44" t="str">
        <f>IFERROR(AVERAGE(Data!H1722), "  ")</f>
        <v xml:space="preserve">  </v>
      </c>
      <c r="I1720" s="44" t="str">
        <f>IFERROR(AVERAGE(Data!I1722), "  ")</f>
        <v xml:space="preserve">  </v>
      </c>
      <c r="J1720" s="42" t="str">
        <f>IFERROR(AVERAGE(Data!J1722), "  ")</f>
        <v xml:space="preserve">  </v>
      </c>
      <c r="K1720" s="44" t="str">
        <f>IFERROR(AVERAGE(Data!K1722), "  ")</f>
        <v xml:space="preserve">  </v>
      </c>
      <c r="L1720" s="45" t="str">
        <f>IFERROR(AVERAGE(Data!L1722), "  ")</f>
        <v xml:space="preserve">  </v>
      </c>
    </row>
    <row r="1721" spans="1:12" x14ac:dyDescent="0.2">
      <c r="A1721" s="43"/>
      <c r="B1721" s="42" t="str">
        <f>IFERROR(AVERAGE(Data!B1723), "  ")</f>
        <v xml:space="preserve">  </v>
      </c>
      <c r="C1721" s="42" t="str">
        <f>IFERROR(AVERAGE(Data!C1723), "  ")</f>
        <v xml:space="preserve">  </v>
      </c>
      <c r="D1721" s="42" t="str">
        <f>IFERROR(AVERAGE(Data!D1723), "  ")</f>
        <v xml:space="preserve">  </v>
      </c>
      <c r="E1721" s="42" t="str">
        <f>IFERROR(AVERAGE(Data!E1723), "  ")</f>
        <v xml:space="preserve">  </v>
      </c>
      <c r="F1721" s="42" t="str">
        <f>IFERROR(AVERAGE(Data!F1723), "  ")</f>
        <v xml:space="preserve">  </v>
      </c>
      <c r="G1721" s="42" t="str">
        <f>IFERROR(AVERAGE(Data!G1723), "  ")</f>
        <v xml:space="preserve">  </v>
      </c>
      <c r="H1721" s="44" t="str">
        <f>IFERROR(AVERAGE(Data!H1723), "  ")</f>
        <v xml:space="preserve">  </v>
      </c>
      <c r="I1721" s="44" t="str">
        <f>IFERROR(AVERAGE(Data!I1723), "  ")</f>
        <v xml:space="preserve">  </v>
      </c>
      <c r="J1721" s="42" t="str">
        <f>IFERROR(AVERAGE(Data!J1723), "  ")</f>
        <v xml:space="preserve">  </v>
      </c>
      <c r="K1721" s="44" t="str">
        <f>IFERROR(AVERAGE(Data!K1723), "  ")</f>
        <v xml:space="preserve">  </v>
      </c>
      <c r="L1721" s="45" t="str">
        <f>IFERROR(AVERAGE(Data!L1723), "  ")</f>
        <v xml:space="preserve">  </v>
      </c>
    </row>
    <row r="1722" spans="1:12" x14ac:dyDescent="0.2">
      <c r="A1722" s="43"/>
      <c r="B1722" s="42" t="str">
        <f>IFERROR(AVERAGE(Data!B1724), "  ")</f>
        <v xml:space="preserve">  </v>
      </c>
      <c r="C1722" s="42" t="str">
        <f>IFERROR(AVERAGE(Data!C1724), "  ")</f>
        <v xml:space="preserve">  </v>
      </c>
      <c r="D1722" s="42" t="str">
        <f>IFERROR(AVERAGE(Data!D1724), "  ")</f>
        <v xml:space="preserve">  </v>
      </c>
      <c r="E1722" s="42" t="str">
        <f>IFERROR(AVERAGE(Data!E1724), "  ")</f>
        <v xml:space="preserve">  </v>
      </c>
      <c r="F1722" s="42" t="str">
        <f>IFERROR(AVERAGE(Data!F1724), "  ")</f>
        <v xml:space="preserve">  </v>
      </c>
      <c r="G1722" s="42" t="str">
        <f>IFERROR(AVERAGE(Data!G1724), "  ")</f>
        <v xml:space="preserve">  </v>
      </c>
      <c r="H1722" s="44" t="str">
        <f>IFERROR(AVERAGE(Data!H1724), "  ")</f>
        <v xml:space="preserve">  </v>
      </c>
      <c r="I1722" s="44" t="str">
        <f>IFERROR(AVERAGE(Data!I1724), "  ")</f>
        <v xml:space="preserve">  </v>
      </c>
      <c r="J1722" s="42" t="str">
        <f>IFERROR(AVERAGE(Data!J1724), "  ")</f>
        <v xml:space="preserve">  </v>
      </c>
      <c r="K1722" s="44" t="str">
        <f>IFERROR(AVERAGE(Data!K1724), "  ")</f>
        <v xml:space="preserve">  </v>
      </c>
      <c r="L1722" s="45" t="str">
        <f>IFERROR(AVERAGE(Data!L1724), "  ")</f>
        <v xml:space="preserve">  </v>
      </c>
    </row>
    <row r="1723" spans="1:12" x14ac:dyDescent="0.2">
      <c r="A1723" s="43"/>
      <c r="B1723" s="42" t="str">
        <f>IFERROR(AVERAGE(Data!B1725), "  ")</f>
        <v xml:space="preserve">  </v>
      </c>
      <c r="C1723" s="42" t="str">
        <f>IFERROR(AVERAGE(Data!C1725), "  ")</f>
        <v xml:space="preserve">  </v>
      </c>
      <c r="D1723" s="42" t="str">
        <f>IFERROR(AVERAGE(Data!D1725), "  ")</f>
        <v xml:space="preserve">  </v>
      </c>
      <c r="E1723" s="42" t="str">
        <f>IFERROR(AVERAGE(Data!E1725), "  ")</f>
        <v xml:space="preserve">  </v>
      </c>
      <c r="F1723" s="42" t="str">
        <f>IFERROR(AVERAGE(Data!F1725), "  ")</f>
        <v xml:space="preserve">  </v>
      </c>
      <c r="G1723" s="42" t="str">
        <f>IFERROR(AVERAGE(Data!G1725), "  ")</f>
        <v xml:space="preserve">  </v>
      </c>
      <c r="H1723" s="44" t="str">
        <f>IFERROR(AVERAGE(Data!H1725), "  ")</f>
        <v xml:space="preserve">  </v>
      </c>
      <c r="I1723" s="44" t="str">
        <f>IFERROR(AVERAGE(Data!I1725), "  ")</f>
        <v xml:space="preserve">  </v>
      </c>
      <c r="J1723" s="42" t="str">
        <f>IFERROR(AVERAGE(Data!J1725), "  ")</f>
        <v xml:space="preserve">  </v>
      </c>
      <c r="K1723" s="44" t="str">
        <f>IFERROR(AVERAGE(Data!K1725), "  ")</f>
        <v xml:space="preserve">  </v>
      </c>
      <c r="L1723" s="45" t="str">
        <f>IFERROR(AVERAGE(Data!L1725), "  ")</f>
        <v xml:space="preserve">  </v>
      </c>
    </row>
    <row r="1724" spans="1:12" x14ac:dyDescent="0.2">
      <c r="A1724" s="43"/>
      <c r="B1724" s="42" t="str">
        <f>IFERROR(AVERAGE(Data!B1726), "  ")</f>
        <v xml:space="preserve">  </v>
      </c>
      <c r="C1724" s="42" t="str">
        <f>IFERROR(AVERAGE(Data!C1726), "  ")</f>
        <v xml:space="preserve">  </v>
      </c>
      <c r="D1724" s="42" t="str">
        <f>IFERROR(AVERAGE(Data!D1726), "  ")</f>
        <v xml:space="preserve">  </v>
      </c>
      <c r="E1724" s="42" t="str">
        <f>IFERROR(AVERAGE(Data!E1726), "  ")</f>
        <v xml:space="preserve">  </v>
      </c>
      <c r="F1724" s="42" t="str">
        <f>IFERROR(AVERAGE(Data!F1726), "  ")</f>
        <v xml:space="preserve">  </v>
      </c>
      <c r="G1724" s="42" t="str">
        <f>IFERROR(AVERAGE(Data!G1726), "  ")</f>
        <v xml:space="preserve">  </v>
      </c>
      <c r="H1724" s="44" t="str">
        <f>IFERROR(AVERAGE(Data!H1726), "  ")</f>
        <v xml:space="preserve">  </v>
      </c>
      <c r="I1724" s="44" t="str">
        <f>IFERROR(AVERAGE(Data!I1726), "  ")</f>
        <v xml:space="preserve">  </v>
      </c>
      <c r="J1724" s="42" t="str">
        <f>IFERROR(AVERAGE(Data!J1726), "  ")</f>
        <v xml:space="preserve">  </v>
      </c>
      <c r="K1724" s="44" t="str">
        <f>IFERROR(AVERAGE(Data!K1726), "  ")</f>
        <v xml:space="preserve">  </v>
      </c>
      <c r="L1724" s="45" t="str">
        <f>IFERROR(AVERAGE(Data!L1726), "  ")</f>
        <v xml:space="preserve">  </v>
      </c>
    </row>
    <row r="1725" spans="1:12" x14ac:dyDescent="0.2">
      <c r="A1725" s="43"/>
      <c r="B1725" s="42" t="str">
        <f>IFERROR(AVERAGE(Data!B1727), "  ")</f>
        <v xml:space="preserve">  </v>
      </c>
      <c r="C1725" s="42" t="str">
        <f>IFERROR(AVERAGE(Data!C1727), "  ")</f>
        <v xml:space="preserve">  </v>
      </c>
      <c r="D1725" s="42" t="str">
        <f>IFERROR(AVERAGE(Data!D1727), "  ")</f>
        <v xml:space="preserve">  </v>
      </c>
      <c r="E1725" s="42" t="str">
        <f>IFERROR(AVERAGE(Data!E1727), "  ")</f>
        <v xml:space="preserve">  </v>
      </c>
      <c r="F1725" s="42" t="str">
        <f>IFERROR(AVERAGE(Data!F1727), "  ")</f>
        <v xml:space="preserve">  </v>
      </c>
      <c r="G1725" s="42" t="str">
        <f>IFERROR(AVERAGE(Data!G1727), "  ")</f>
        <v xml:space="preserve">  </v>
      </c>
      <c r="H1725" s="44" t="str">
        <f>IFERROR(AVERAGE(Data!H1727), "  ")</f>
        <v xml:space="preserve">  </v>
      </c>
      <c r="I1725" s="44" t="str">
        <f>IFERROR(AVERAGE(Data!I1727), "  ")</f>
        <v xml:space="preserve">  </v>
      </c>
      <c r="J1725" s="42" t="str">
        <f>IFERROR(AVERAGE(Data!J1727), "  ")</f>
        <v xml:space="preserve">  </v>
      </c>
      <c r="K1725" s="44" t="str">
        <f>IFERROR(AVERAGE(Data!K1727), "  ")</f>
        <v xml:space="preserve">  </v>
      </c>
      <c r="L1725" s="45" t="str">
        <f>IFERROR(AVERAGE(Data!L1727), "  ")</f>
        <v xml:space="preserve">  </v>
      </c>
    </row>
    <row r="1726" spans="1:12" x14ac:dyDescent="0.2">
      <c r="A1726" s="43"/>
      <c r="B1726" s="42" t="str">
        <f>IFERROR(AVERAGE(Data!B1728), "  ")</f>
        <v xml:space="preserve">  </v>
      </c>
      <c r="C1726" s="42" t="str">
        <f>IFERROR(AVERAGE(Data!C1728), "  ")</f>
        <v xml:space="preserve">  </v>
      </c>
      <c r="D1726" s="42" t="str">
        <f>IFERROR(AVERAGE(Data!D1728), "  ")</f>
        <v xml:space="preserve">  </v>
      </c>
      <c r="E1726" s="42" t="str">
        <f>IFERROR(AVERAGE(Data!E1728), "  ")</f>
        <v xml:space="preserve">  </v>
      </c>
      <c r="F1726" s="42" t="str">
        <f>IFERROR(AVERAGE(Data!F1728), "  ")</f>
        <v xml:space="preserve">  </v>
      </c>
      <c r="G1726" s="42" t="str">
        <f>IFERROR(AVERAGE(Data!G1728), "  ")</f>
        <v xml:space="preserve">  </v>
      </c>
      <c r="H1726" s="44" t="str">
        <f>IFERROR(AVERAGE(Data!H1728), "  ")</f>
        <v xml:space="preserve">  </v>
      </c>
      <c r="I1726" s="44" t="str">
        <f>IFERROR(AVERAGE(Data!I1728), "  ")</f>
        <v xml:space="preserve">  </v>
      </c>
      <c r="J1726" s="42" t="str">
        <f>IFERROR(AVERAGE(Data!J1728), "  ")</f>
        <v xml:space="preserve">  </v>
      </c>
      <c r="K1726" s="44" t="str">
        <f>IFERROR(AVERAGE(Data!K1728), "  ")</f>
        <v xml:space="preserve">  </v>
      </c>
      <c r="L1726" s="45" t="str">
        <f>IFERROR(AVERAGE(Data!L1728), "  ")</f>
        <v xml:space="preserve">  </v>
      </c>
    </row>
    <row r="1727" spans="1:12" x14ac:dyDescent="0.2">
      <c r="A1727" s="43"/>
      <c r="B1727" s="42" t="str">
        <f>IFERROR(AVERAGE(Data!B1729), "  ")</f>
        <v xml:space="preserve">  </v>
      </c>
      <c r="C1727" s="42" t="str">
        <f>IFERROR(AVERAGE(Data!C1729), "  ")</f>
        <v xml:space="preserve">  </v>
      </c>
      <c r="D1727" s="42" t="str">
        <f>IFERROR(AVERAGE(Data!D1729), "  ")</f>
        <v xml:space="preserve">  </v>
      </c>
      <c r="E1727" s="42" t="str">
        <f>IFERROR(AVERAGE(Data!E1729), "  ")</f>
        <v xml:space="preserve">  </v>
      </c>
      <c r="F1727" s="42" t="str">
        <f>IFERROR(AVERAGE(Data!F1729), "  ")</f>
        <v xml:space="preserve">  </v>
      </c>
      <c r="G1727" s="42" t="str">
        <f>IFERROR(AVERAGE(Data!G1729), "  ")</f>
        <v xml:space="preserve">  </v>
      </c>
      <c r="H1727" s="44" t="str">
        <f>IFERROR(AVERAGE(Data!H1729), "  ")</f>
        <v xml:space="preserve">  </v>
      </c>
      <c r="I1727" s="44" t="str">
        <f>IFERROR(AVERAGE(Data!I1729), "  ")</f>
        <v xml:space="preserve">  </v>
      </c>
      <c r="J1727" s="42" t="str">
        <f>IFERROR(AVERAGE(Data!J1729), "  ")</f>
        <v xml:space="preserve">  </v>
      </c>
      <c r="K1727" s="44" t="str">
        <f>IFERROR(AVERAGE(Data!K1729), "  ")</f>
        <v xml:space="preserve">  </v>
      </c>
      <c r="L1727" s="45" t="str">
        <f>IFERROR(AVERAGE(Data!L1729), "  ")</f>
        <v xml:space="preserve">  </v>
      </c>
    </row>
    <row r="1728" spans="1:12" x14ac:dyDescent="0.2">
      <c r="A1728" s="43"/>
      <c r="B1728" s="42" t="str">
        <f>IFERROR(AVERAGE(Data!B1730), "  ")</f>
        <v xml:space="preserve">  </v>
      </c>
      <c r="C1728" s="42" t="str">
        <f>IFERROR(AVERAGE(Data!C1730), "  ")</f>
        <v xml:space="preserve">  </v>
      </c>
      <c r="D1728" s="42" t="str">
        <f>IFERROR(AVERAGE(Data!D1730), "  ")</f>
        <v xml:space="preserve">  </v>
      </c>
      <c r="E1728" s="42" t="str">
        <f>IFERROR(AVERAGE(Data!E1730), "  ")</f>
        <v xml:space="preserve">  </v>
      </c>
      <c r="F1728" s="42" t="str">
        <f>IFERROR(AVERAGE(Data!F1730), "  ")</f>
        <v xml:space="preserve">  </v>
      </c>
      <c r="G1728" s="42" t="str">
        <f>IFERROR(AVERAGE(Data!G1730), "  ")</f>
        <v xml:space="preserve">  </v>
      </c>
      <c r="H1728" s="44" t="str">
        <f>IFERROR(AVERAGE(Data!H1730), "  ")</f>
        <v xml:space="preserve">  </v>
      </c>
      <c r="I1728" s="44" t="str">
        <f>IFERROR(AVERAGE(Data!I1730), "  ")</f>
        <v xml:space="preserve">  </v>
      </c>
      <c r="J1728" s="42" t="str">
        <f>IFERROR(AVERAGE(Data!J1730), "  ")</f>
        <v xml:space="preserve">  </v>
      </c>
      <c r="K1728" s="44" t="str">
        <f>IFERROR(AVERAGE(Data!K1730), "  ")</f>
        <v xml:space="preserve">  </v>
      </c>
      <c r="L1728" s="45" t="str">
        <f>IFERROR(AVERAGE(Data!L1730), "  ")</f>
        <v xml:space="preserve">  </v>
      </c>
    </row>
    <row r="1729" spans="1:12" x14ac:dyDescent="0.2">
      <c r="A1729" s="43"/>
      <c r="B1729" s="42" t="str">
        <f>IFERROR(AVERAGE(Data!B1731), "  ")</f>
        <v xml:space="preserve">  </v>
      </c>
      <c r="C1729" s="42" t="str">
        <f>IFERROR(AVERAGE(Data!C1731), "  ")</f>
        <v xml:space="preserve">  </v>
      </c>
      <c r="D1729" s="42" t="str">
        <f>IFERROR(AVERAGE(Data!D1731), "  ")</f>
        <v xml:space="preserve">  </v>
      </c>
      <c r="E1729" s="42" t="str">
        <f>IFERROR(AVERAGE(Data!E1731), "  ")</f>
        <v xml:space="preserve">  </v>
      </c>
      <c r="F1729" s="42" t="str">
        <f>IFERROR(AVERAGE(Data!F1731), "  ")</f>
        <v xml:space="preserve">  </v>
      </c>
      <c r="G1729" s="42" t="str">
        <f>IFERROR(AVERAGE(Data!G1731), "  ")</f>
        <v xml:space="preserve">  </v>
      </c>
      <c r="H1729" s="44" t="str">
        <f>IFERROR(AVERAGE(Data!H1731), "  ")</f>
        <v xml:space="preserve">  </v>
      </c>
      <c r="I1729" s="44" t="str">
        <f>IFERROR(AVERAGE(Data!I1731), "  ")</f>
        <v xml:space="preserve">  </v>
      </c>
      <c r="J1729" s="42" t="str">
        <f>IFERROR(AVERAGE(Data!J1731), "  ")</f>
        <v xml:space="preserve">  </v>
      </c>
      <c r="K1729" s="44" t="str">
        <f>IFERROR(AVERAGE(Data!K1731), "  ")</f>
        <v xml:space="preserve">  </v>
      </c>
      <c r="L1729" s="45" t="str">
        <f>IFERROR(AVERAGE(Data!L1731), "  ")</f>
        <v xml:space="preserve">  </v>
      </c>
    </row>
    <row r="1730" spans="1:12" x14ac:dyDescent="0.2">
      <c r="A1730" s="43"/>
      <c r="B1730" s="42" t="str">
        <f>IFERROR(AVERAGE(Data!B1732), "  ")</f>
        <v xml:space="preserve">  </v>
      </c>
      <c r="C1730" s="42" t="str">
        <f>IFERROR(AVERAGE(Data!C1732), "  ")</f>
        <v xml:space="preserve">  </v>
      </c>
      <c r="D1730" s="42" t="str">
        <f>IFERROR(AVERAGE(Data!D1732), "  ")</f>
        <v xml:space="preserve">  </v>
      </c>
      <c r="E1730" s="42" t="str">
        <f>IFERROR(AVERAGE(Data!E1732), "  ")</f>
        <v xml:space="preserve">  </v>
      </c>
      <c r="F1730" s="42" t="str">
        <f>IFERROR(AVERAGE(Data!F1732), "  ")</f>
        <v xml:space="preserve">  </v>
      </c>
      <c r="G1730" s="42" t="str">
        <f>IFERROR(AVERAGE(Data!G1732), "  ")</f>
        <v xml:space="preserve">  </v>
      </c>
      <c r="H1730" s="44" t="str">
        <f>IFERROR(AVERAGE(Data!H1732), "  ")</f>
        <v xml:space="preserve">  </v>
      </c>
      <c r="I1730" s="44" t="str">
        <f>IFERROR(AVERAGE(Data!I1732), "  ")</f>
        <v xml:space="preserve">  </v>
      </c>
      <c r="J1730" s="42" t="str">
        <f>IFERROR(AVERAGE(Data!J1732), "  ")</f>
        <v xml:space="preserve">  </v>
      </c>
      <c r="K1730" s="44" t="str">
        <f>IFERROR(AVERAGE(Data!K1732), "  ")</f>
        <v xml:space="preserve">  </v>
      </c>
      <c r="L1730" s="45" t="str">
        <f>IFERROR(AVERAGE(Data!L1732), "  ")</f>
        <v xml:space="preserve">  </v>
      </c>
    </row>
    <row r="1731" spans="1:12" x14ac:dyDescent="0.2">
      <c r="A1731" s="43"/>
      <c r="B1731" s="42" t="str">
        <f>IFERROR(AVERAGE(Data!B1733), "  ")</f>
        <v xml:space="preserve">  </v>
      </c>
      <c r="C1731" s="42" t="str">
        <f>IFERROR(AVERAGE(Data!C1733), "  ")</f>
        <v xml:space="preserve">  </v>
      </c>
      <c r="D1731" s="42" t="str">
        <f>IFERROR(AVERAGE(Data!D1733), "  ")</f>
        <v xml:space="preserve">  </v>
      </c>
      <c r="E1731" s="42" t="str">
        <f>IFERROR(AVERAGE(Data!E1733), "  ")</f>
        <v xml:space="preserve">  </v>
      </c>
      <c r="F1731" s="42" t="str">
        <f>IFERROR(AVERAGE(Data!F1733), "  ")</f>
        <v xml:space="preserve">  </v>
      </c>
      <c r="G1731" s="42" t="str">
        <f>IFERROR(AVERAGE(Data!G1733), "  ")</f>
        <v xml:space="preserve">  </v>
      </c>
      <c r="H1731" s="44" t="str">
        <f>IFERROR(AVERAGE(Data!H1733), "  ")</f>
        <v xml:space="preserve">  </v>
      </c>
      <c r="I1731" s="44" t="str">
        <f>IFERROR(AVERAGE(Data!I1733), "  ")</f>
        <v xml:space="preserve">  </v>
      </c>
      <c r="J1731" s="42" t="str">
        <f>IFERROR(AVERAGE(Data!J1733), "  ")</f>
        <v xml:space="preserve">  </v>
      </c>
      <c r="K1731" s="44" t="str">
        <f>IFERROR(AVERAGE(Data!K1733), "  ")</f>
        <v xml:space="preserve">  </v>
      </c>
      <c r="L1731" s="45" t="str">
        <f>IFERROR(AVERAGE(Data!L1733), "  ")</f>
        <v xml:space="preserve">  </v>
      </c>
    </row>
    <row r="1732" spans="1:12" x14ac:dyDescent="0.2">
      <c r="A1732" s="43"/>
      <c r="B1732" s="42" t="str">
        <f>IFERROR(AVERAGE(Data!B1734), "  ")</f>
        <v xml:space="preserve">  </v>
      </c>
      <c r="C1732" s="42" t="str">
        <f>IFERROR(AVERAGE(Data!C1734), "  ")</f>
        <v xml:space="preserve">  </v>
      </c>
      <c r="D1732" s="42" t="str">
        <f>IFERROR(AVERAGE(Data!D1734), "  ")</f>
        <v xml:space="preserve">  </v>
      </c>
      <c r="E1732" s="42" t="str">
        <f>IFERROR(AVERAGE(Data!E1734), "  ")</f>
        <v xml:space="preserve">  </v>
      </c>
      <c r="F1732" s="42" t="str">
        <f>IFERROR(AVERAGE(Data!F1734), "  ")</f>
        <v xml:space="preserve">  </v>
      </c>
      <c r="G1732" s="42" t="str">
        <f>IFERROR(AVERAGE(Data!G1734), "  ")</f>
        <v xml:space="preserve">  </v>
      </c>
      <c r="H1732" s="44" t="str">
        <f>IFERROR(AVERAGE(Data!H1734), "  ")</f>
        <v xml:space="preserve">  </v>
      </c>
      <c r="I1732" s="44" t="str">
        <f>IFERROR(AVERAGE(Data!I1734), "  ")</f>
        <v xml:space="preserve">  </v>
      </c>
      <c r="J1732" s="42" t="str">
        <f>IFERROR(AVERAGE(Data!J1734), "  ")</f>
        <v xml:space="preserve">  </v>
      </c>
      <c r="K1732" s="44" t="str">
        <f>IFERROR(AVERAGE(Data!K1734), "  ")</f>
        <v xml:space="preserve">  </v>
      </c>
      <c r="L1732" s="45" t="str">
        <f>IFERROR(AVERAGE(Data!L1734), "  ")</f>
        <v xml:space="preserve">  </v>
      </c>
    </row>
    <row r="1733" spans="1:12" x14ac:dyDescent="0.2">
      <c r="A1733" s="43"/>
      <c r="B1733" s="42" t="str">
        <f>IFERROR(AVERAGE(Data!B1735), "  ")</f>
        <v xml:space="preserve">  </v>
      </c>
      <c r="C1733" s="42" t="str">
        <f>IFERROR(AVERAGE(Data!C1735), "  ")</f>
        <v xml:space="preserve">  </v>
      </c>
      <c r="D1733" s="42" t="str">
        <f>IFERROR(AVERAGE(Data!D1735), "  ")</f>
        <v xml:space="preserve">  </v>
      </c>
      <c r="E1733" s="42" t="str">
        <f>IFERROR(AVERAGE(Data!E1735), "  ")</f>
        <v xml:space="preserve">  </v>
      </c>
      <c r="F1733" s="42" t="str">
        <f>IFERROR(AVERAGE(Data!F1735), "  ")</f>
        <v xml:space="preserve">  </v>
      </c>
      <c r="G1733" s="42" t="str">
        <f>IFERROR(AVERAGE(Data!G1735), "  ")</f>
        <v xml:space="preserve">  </v>
      </c>
      <c r="H1733" s="44" t="str">
        <f>IFERROR(AVERAGE(Data!H1735), "  ")</f>
        <v xml:space="preserve">  </v>
      </c>
      <c r="I1733" s="44" t="str">
        <f>IFERROR(AVERAGE(Data!I1735), "  ")</f>
        <v xml:space="preserve">  </v>
      </c>
      <c r="J1733" s="42" t="str">
        <f>IFERROR(AVERAGE(Data!J1735), "  ")</f>
        <v xml:space="preserve">  </v>
      </c>
      <c r="K1733" s="44" t="str">
        <f>IFERROR(AVERAGE(Data!K1735), "  ")</f>
        <v xml:space="preserve">  </v>
      </c>
      <c r="L1733" s="45" t="str">
        <f>IFERROR(AVERAGE(Data!L1735), "  ")</f>
        <v xml:space="preserve">  </v>
      </c>
    </row>
    <row r="1734" spans="1:12" x14ac:dyDescent="0.2">
      <c r="A1734" s="43"/>
      <c r="B1734" s="42" t="str">
        <f>IFERROR(AVERAGE(Data!B1736), "  ")</f>
        <v xml:space="preserve">  </v>
      </c>
      <c r="C1734" s="42" t="str">
        <f>IFERROR(AVERAGE(Data!C1736), "  ")</f>
        <v xml:space="preserve">  </v>
      </c>
      <c r="D1734" s="42" t="str">
        <f>IFERROR(AVERAGE(Data!D1736), "  ")</f>
        <v xml:space="preserve">  </v>
      </c>
      <c r="E1734" s="42" t="str">
        <f>IFERROR(AVERAGE(Data!E1736), "  ")</f>
        <v xml:space="preserve">  </v>
      </c>
      <c r="F1734" s="42" t="str">
        <f>IFERROR(AVERAGE(Data!F1736), "  ")</f>
        <v xml:space="preserve">  </v>
      </c>
      <c r="G1734" s="42" t="str">
        <f>IFERROR(AVERAGE(Data!G1736), "  ")</f>
        <v xml:space="preserve">  </v>
      </c>
      <c r="H1734" s="44" t="str">
        <f>IFERROR(AVERAGE(Data!H1736), "  ")</f>
        <v xml:space="preserve">  </v>
      </c>
      <c r="I1734" s="44" t="str">
        <f>IFERROR(AVERAGE(Data!I1736), "  ")</f>
        <v xml:space="preserve">  </v>
      </c>
      <c r="J1734" s="42" t="str">
        <f>IFERROR(AVERAGE(Data!J1736), "  ")</f>
        <v xml:space="preserve">  </v>
      </c>
      <c r="K1734" s="44" t="str">
        <f>IFERROR(AVERAGE(Data!K1736), "  ")</f>
        <v xml:space="preserve">  </v>
      </c>
      <c r="L1734" s="45" t="str">
        <f>IFERROR(AVERAGE(Data!L1736), "  ")</f>
        <v xml:space="preserve">  </v>
      </c>
    </row>
    <row r="1735" spans="1:12" x14ac:dyDescent="0.2">
      <c r="A1735" s="43"/>
      <c r="B1735" s="42" t="str">
        <f>IFERROR(AVERAGE(Data!B1737), "  ")</f>
        <v xml:space="preserve">  </v>
      </c>
      <c r="C1735" s="42" t="str">
        <f>IFERROR(AVERAGE(Data!C1737), "  ")</f>
        <v xml:space="preserve">  </v>
      </c>
      <c r="D1735" s="42" t="str">
        <f>IFERROR(AVERAGE(Data!D1737), "  ")</f>
        <v xml:space="preserve">  </v>
      </c>
      <c r="E1735" s="42" t="str">
        <f>IFERROR(AVERAGE(Data!E1737), "  ")</f>
        <v xml:space="preserve">  </v>
      </c>
      <c r="F1735" s="42" t="str">
        <f>IFERROR(AVERAGE(Data!F1737), "  ")</f>
        <v xml:space="preserve">  </v>
      </c>
      <c r="G1735" s="42" t="str">
        <f>IFERROR(AVERAGE(Data!G1737), "  ")</f>
        <v xml:space="preserve">  </v>
      </c>
      <c r="H1735" s="44" t="str">
        <f>IFERROR(AVERAGE(Data!H1737), "  ")</f>
        <v xml:space="preserve">  </v>
      </c>
      <c r="I1735" s="44" t="str">
        <f>IFERROR(AVERAGE(Data!I1737), "  ")</f>
        <v xml:space="preserve">  </v>
      </c>
      <c r="J1735" s="42" t="str">
        <f>IFERROR(AVERAGE(Data!J1737), "  ")</f>
        <v xml:space="preserve">  </v>
      </c>
      <c r="K1735" s="44" t="str">
        <f>IFERROR(AVERAGE(Data!K1737), "  ")</f>
        <v xml:space="preserve">  </v>
      </c>
      <c r="L1735" s="45" t="str">
        <f>IFERROR(AVERAGE(Data!L1737), "  ")</f>
        <v xml:space="preserve">  </v>
      </c>
    </row>
    <row r="1736" spans="1:12" x14ac:dyDescent="0.2">
      <c r="A1736" s="43"/>
      <c r="B1736" s="42" t="str">
        <f>IFERROR(AVERAGE(Data!B1738), "  ")</f>
        <v xml:space="preserve">  </v>
      </c>
      <c r="C1736" s="42" t="str">
        <f>IFERROR(AVERAGE(Data!C1738), "  ")</f>
        <v xml:space="preserve">  </v>
      </c>
      <c r="D1736" s="42" t="str">
        <f>IFERROR(AVERAGE(Data!D1738), "  ")</f>
        <v xml:space="preserve">  </v>
      </c>
      <c r="E1736" s="42" t="str">
        <f>IFERROR(AVERAGE(Data!E1738), "  ")</f>
        <v xml:space="preserve">  </v>
      </c>
      <c r="F1736" s="42" t="str">
        <f>IFERROR(AVERAGE(Data!F1738), "  ")</f>
        <v xml:space="preserve">  </v>
      </c>
      <c r="G1736" s="42" t="str">
        <f>IFERROR(AVERAGE(Data!G1738), "  ")</f>
        <v xml:space="preserve">  </v>
      </c>
      <c r="H1736" s="44" t="str">
        <f>IFERROR(AVERAGE(Data!H1738), "  ")</f>
        <v xml:space="preserve">  </v>
      </c>
      <c r="I1736" s="44" t="str">
        <f>IFERROR(AVERAGE(Data!I1738), "  ")</f>
        <v xml:space="preserve">  </v>
      </c>
      <c r="J1736" s="42" t="str">
        <f>IFERROR(AVERAGE(Data!J1738), "  ")</f>
        <v xml:space="preserve">  </v>
      </c>
      <c r="K1736" s="44" t="str">
        <f>IFERROR(AVERAGE(Data!K1738), "  ")</f>
        <v xml:space="preserve">  </v>
      </c>
      <c r="L1736" s="45" t="str">
        <f>IFERROR(AVERAGE(Data!L1738), "  ")</f>
        <v xml:space="preserve">  </v>
      </c>
    </row>
    <row r="1737" spans="1:12" x14ac:dyDescent="0.2">
      <c r="A1737" s="43"/>
      <c r="B1737" s="42" t="str">
        <f>IFERROR(AVERAGE(Data!B1739), "  ")</f>
        <v xml:space="preserve">  </v>
      </c>
      <c r="C1737" s="42" t="str">
        <f>IFERROR(AVERAGE(Data!C1739), "  ")</f>
        <v xml:space="preserve">  </v>
      </c>
      <c r="D1737" s="42" t="str">
        <f>IFERROR(AVERAGE(Data!D1739), "  ")</f>
        <v xml:space="preserve">  </v>
      </c>
      <c r="E1737" s="42" t="str">
        <f>IFERROR(AVERAGE(Data!E1739), "  ")</f>
        <v xml:space="preserve">  </v>
      </c>
      <c r="F1737" s="42" t="str">
        <f>IFERROR(AVERAGE(Data!F1739), "  ")</f>
        <v xml:space="preserve">  </v>
      </c>
      <c r="G1737" s="42" t="str">
        <f>IFERROR(AVERAGE(Data!G1739), "  ")</f>
        <v xml:space="preserve">  </v>
      </c>
      <c r="H1737" s="44" t="str">
        <f>IFERROR(AVERAGE(Data!H1739), "  ")</f>
        <v xml:space="preserve">  </v>
      </c>
      <c r="I1737" s="44" t="str">
        <f>IFERROR(AVERAGE(Data!I1739), "  ")</f>
        <v xml:space="preserve">  </v>
      </c>
      <c r="J1737" s="42" t="str">
        <f>IFERROR(AVERAGE(Data!J1739), "  ")</f>
        <v xml:space="preserve">  </v>
      </c>
      <c r="K1737" s="44" t="str">
        <f>IFERROR(AVERAGE(Data!K1739), "  ")</f>
        <v xml:space="preserve">  </v>
      </c>
      <c r="L1737" s="45" t="str">
        <f>IFERROR(AVERAGE(Data!L1739), "  ")</f>
        <v xml:space="preserve">  </v>
      </c>
    </row>
    <row r="1738" spans="1:12" x14ac:dyDescent="0.2">
      <c r="A1738" s="43"/>
      <c r="B1738" s="42" t="str">
        <f>IFERROR(AVERAGE(Data!B1740), "  ")</f>
        <v xml:space="preserve">  </v>
      </c>
      <c r="C1738" s="42" t="str">
        <f>IFERROR(AVERAGE(Data!C1740), "  ")</f>
        <v xml:space="preserve">  </v>
      </c>
      <c r="D1738" s="42" t="str">
        <f>IFERROR(AVERAGE(Data!D1740), "  ")</f>
        <v xml:space="preserve">  </v>
      </c>
      <c r="E1738" s="42" t="str">
        <f>IFERROR(AVERAGE(Data!E1740), "  ")</f>
        <v xml:space="preserve">  </v>
      </c>
      <c r="F1738" s="42" t="str">
        <f>IFERROR(AVERAGE(Data!F1740), "  ")</f>
        <v xml:space="preserve">  </v>
      </c>
      <c r="G1738" s="42" t="str">
        <f>IFERROR(AVERAGE(Data!G1740), "  ")</f>
        <v xml:space="preserve">  </v>
      </c>
      <c r="H1738" s="44" t="str">
        <f>IFERROR(AVERAGE(Data!H1740), "  ")</f>
        <v xml:space="preserve">  </v>
      </c>
      <c r="I1738" s="44" t="str">
        <f>IFERROR(AVERAGE(Data!I1740), "  ")</f>
        <v xml:space="preserve">  </v>
      </c>
      <c r="J1738" s="42" t="str">
        <f>IFERROR(AVERAGE(Data!J1740), "  ")</f>
        <v xml:space="preserve">  </v>
      </c>
      <c r="K1738" s="44" t="str">
        <f>IFERROR(AVERAGE(Data!K1740), "  ")</f>
        <v xml:space="preserve">  </v>
      </c>
      <c r="L1738" s="45" t="str">
        <f>IFERROR(AVERAGE(Data!L1740), "  ")</f>
        <v xml:space="preserve">  </v>
      </c>
    </row>
    <row r="1739" spans="1:12" x14ac:dyDescent="0.2">
      <c r="A1739" s="43"/>
      <c r="B1739" s="42" t="str">
        <f>IFERROR(AVERAGE(Data!B1741), "  ")</f>
        <v xml:space="preserve">  </v>
      </c>
      <c r="C1739" s="42" t="str">
        <f>IFERROR(AVERAGE(Data!C1741), "  ")</f>
        <v xml:space="preserve">  </v>
      </c>
      <c r="D1739" s="42" t="str">
        <f>IFERROR(AVERAGE(Data!D1741), "  ")</f>
        <v xml:space="preserve">  </v>
      </c>
      <c r="E1739" s="42" t="str">
        <f>IFERROR(AVERAGE(Data!E1741), "  ")</f>
        <v xml:space="preserve">  </v>
      </c>
      <c r="F1739" s="42" t="str">
        <f>IFERROR(AVERAGE(Data!F1741), "  ")</f>
        <v xml:space="preserve">  </v>
      </c>
      <c r="G1739" s="42" t="str">
        <f>IFERROR(AVERAGE(Data!G1741), "  ")</f>
        <v xml:space="preserve">  </v>
      </c>
      <c r="H1739" s="44" t="str">
        <f>IFERROR(AVERAGE(Data!H1741), "  ")</f>
        <v xml:space="preserve">  </v>
      </c>
      <c r="I1739" s="44" t="str">
        <f>IFERROR(AVERAGE(Data!I1741), "  ")</f>
        <v xml:space="preserve">  </v>
      </c>
      <c r="J1739" s="42" t="str">
        <f>IFERROR(AVERAGE(Data!J1741), "  ")</f>
        <v xml:space="preserve">  </v>
      </c>
      <c r="K1739" s="44" t="str">
        <f>IFERROR(AVERAGE(Data!K1741), "  ")</f>
        <v xml:space="preserve">  </v>
      </c>
      <c r="L1739" s="45" t="str">
        <f>IFERROR(AVERAGE(Data!L1741), "  ")</f>
        <v xml:space="preserve">  </v>
      </c>
    </row>
    <row r="1740" spans="1:12" x14ac:dyDescent="0.2">
      <c r="A1740" s="43"/>
      <c r="B1740" s="42" t="str">
        <f>IFERROR(AVERAGE(Data!B1742), "  ")</f>
        <v xml:space="preserve">  </v>
      </c>
      <c r="C1740" s="42" t="str">
        <f>IFERROR(AVERAGE(Data!C1742), "  ")</f>
        <v xml:space="preserve">  </v>
      </c>
      <c r="D1740" s="42" t="str">
        <f>IFERROR(AVERAGE(Data!D1742), "  ")</f>
        <v xml:space="preserve">  </v>
      </c>
      <c r="E1740" s="42" t="str">
        <f>IFERROR(AVERAGE(Data!E1742), "  ")</f>
        <v xml:space="preserve">  </v>
      </c>
      <c r="F1740" s="42" t="str">
        <f>IFERROR(AVERAGE(Data!F1742), "  ")</f>
        <v xml:space="preserve">  </v>
      </c>
      <c r="G1740" s="42" t="str">
        <f>IFERROR(AVERAGE(Data!G1742), "  ")</f>
        <v xml:space="preserve">  </v>
      </c>
      <c r="H1740" s="44" t="str">
        <f>IFERROR(AVERAGE(Data!H1742), "  ")</f>
        <v xml:space="preserve">  </v>
      </c>
      <c r="I1740" s="44" t="str">
        <f>IFERROR(AVERAGE(Data!I1742), "  ")</f>
        <v xml:space="preserve">  </v>
      </c>
      <c r="J1740" s="42" t="str">
        <f>IFERROR(AVERAGE(Data!J1742), "  ")</f>
        <v xml:space="preserve">  </v>
      </c>
      <c r="K1740" s="44" t="str">
        <f>IFERROR(AVERAGE(Data!K1742), "  ")</f>
        <v xml:space="preserve">  </v>
      </c>
      <c r="L1740" s="45" t="str">
        <f>IFERROR(AVERAGE(Data!L1742), "  ")</f>
        <v xml:space="preserve">  </v>
      </c>
    </row>
    <row r="1741" spans="1:12" x14ac:dyDescent="0.2">
      <c r="A1741" s="43"/>
      <c r="B1741" s="42" t="str">
        <f>IFERROR(AVERAGE(Data!B1743), "  ")</f>
        <v xml:space="preserve">  </v>
      </c>
      <c r="C1741" s="42" t="str">
        <f>IFERROR(AVERAGE(Data!C1743), "  ")</f>
        <v xml:space="preserve">  </v>
      </c>
      <c r="D1741" s="42" t="str">
        <f>IFERROR(AVERAGE(Data!D1743), "  ")</f>
        <v xml:space="preserve">  </v>
      </c>
      <c r="E1741" s="42" t="str">
        <f>IFERROR(AVERAGE(Data!E1743), "  ")</f>
        <v xml:space="preserve">  </v>
      </c>
      <c r="F1741" s="42" t="str">
        <f>IFERROR(AVERAGE(Data!F1743), "  ")</f>
        <v xml:space="preserve">  </v>
      </c>
      <c r="G1741" s="42" t="str">
        <f>IFERROR(AVERAGE(Data!G1743), "  ")</f>
        <v xml:space="preserve">  </v>
      </c>
      <c r="H1741" s="44" t="str">
        <f>IFERROR(AVERAGE(Data!H1743), "  ")</f>
        <v xml:space="preserve">  </v>
      </c>
      <c r="I1741" s="44" t="str">
        <f>IFERROR(AVERAGE(Data!I1743), "  ")</f>
        <v xml:space="preserve">  </v>
      </c>
      <c r="J1741" s="42" t="str">
        <f>IFERROR(AVERAGE(Data!J1743), "  ")</f>
        <v xml:space="preserve">  </v>
      </c>
      <c r="K1741" s="44" t="str">
        <f>IFERROR(AVERAGE(Data!K1743), "  ")</f>
        <v xml:space="preserve">  </v>
      </c>
      <c r="L1741" s="45" t="str">
        <f>IFERROR(AVERAGE(Data!L1743), "  ")</f>
        <v xml:space="preserve">  </v>
      </c>
    </row>
    <row r="1742" spans="1:12" x14ac:dyDescent="0.2">
      <c r="A1742" s="43"/>
      <c r="B1742" s="42" t="str">
        <f>IFERROR(AVERAGE(Data!B1744), "  ")</f>
        <v xml:space="preserve">  </v>
      </c>
      <c r="C1742" s="42" t="str">
        <f>IFERROR(AVERAGE(Data!C1744), "  ")</f>
        <v xml:space="preserve">  </v>
      </c>
      <c r="D1742" s="42" t="str">
        <f>IFERROR(AVERAGE(Data!D1744), "  ")</f>
        <v xml:space="preserve">  </v>
      </c>
      <c r="E1742" s="42" t="str">
        <f>IFERROR(AVERAGE(Data!E1744), "  ")</f>
        <v xml:space="preserve">  </v>
      </c>
      <c r="F1742" s="42" t="str">
        <f>IFERROR(AVERAGE(Data!F1744), "  ")</f>
        <v xml:space="preserve">  </v>
      </c>
      <c r="G1742" s="42" t="str">
        <f>IFERROR(AVERAGE(Data!G1744), "  ")</f>
        <v xml:space="preserve">  </v>
      </c>
      <c r="H1742" s="44" t="str">
        <f>IFERROR(AVERAGE(Data!H1744), "  ")</f>
        <v xml:space="preserve">  </v>
      </c>
      <c r="I1742" s="44" t="str">
        <f>IFERROR(AVERAGE(Data!I1744), "  ")</f>
        <v xml:space="preserve">  </v>
      </c>
      <c r="J1742" s="42" t="str">
        <f>IFERROR(AVERAGE(Data!J1744), "  ")</f>
        <v xml:space="preserve">  </v>
      </c>
      <c r="K1742" s="44" t="str">
        <f>IFERROR(AVERAGE(Data!K1744), "  ")</f>
        <v xml:space="preserve">  </v>
      </c>
      <c r="L1742" s="45" t="str">
        <f>IFERROR(AVERAGE(Data!L1744), "  ")</f>
        <v xml:space="preserve">  </v>
      </c>
    </row>
    <row r="1743" spans="1:12" x14ac:dyDescent="0.2">
      <c r="A1743" s="43"/>
      <c r="B1743" s="42" t="str">
        <f>IFERROR(AVERAGE(Data!B1745), "  ")</f>
        <v xml:space="preserve">  </v>
      </c>
      <c r="C1743" s="42" t="str">
        <f>IFERROR(AVERAGE(Data!C1745), "  ")</f>
        <v xml:space="preserve">  </v>
      </c>
      <c r="D1743" s="42" t="str">
        <f>IFERROR(AVERAGE(Data!D1745), "  ")</f>
        <v xml:space="preserve">  </v>
      </c>
      <c r="E1743" s="42" t="str">
        <f>IFERROR(AVERAGE(Data!E1745), "  ")</f>
        <v xml:space="preserve">  </v>
      </c>
      <c r="F1743" s="42" t="str">
        <f>IFERROR(AVERAGE(Data!F1745), "  ")</f>
        <v xml:space="preserve">  </v>
      </c>
      <c r="G1743" s="42" t="str">
        <f>IFERROR(AVERAGE(Data!G1745), "  ")</f>
        <v xml:space="preserve">  </v>
      </c>
      <c r="H1743" s="44" t="str">
        <f>IFERROR(AVERAGE(Data!H1745), "  ")</f>
        <v xml:space="preserve">  </v>
      </c>
      <c r="I1743" s="44" t="str">
        <f>IFERROR(AVERAGE(Data!I1745), "  ")</f>
        <v xml:space="preserve">  </v>
      </c>
      <c r="J1743" s="42" t="str">
        <f>IFERROR(AVERAGE(Data!J1745), "  ")</f>
        <v xml:space="preserve">  </v>
      </c>
      <c r="K1743" s="44" t="str">
        <f>IFERROR(AVERAGE(Data!K1745), "  ")</f>
        <v xml:space="preserve">  </v>
      </c>
      <c r="L1743" s="45" t="str">
        <f>IFERROR(AVERAGE(Data!L1745), "  ")</f>
        <v xml:space="preserve">  </v>
      </c>
    </row>
    <row r="1744" spans="1:12" x14ac:dyDescent="0.2">
      <c r="A1744" s="43"/>
      <c r="B1744" s="42" t="str">
        <f>IFERROR(AVERAGE(Data!B1746), "  ")</f>
        <v xml:space="preserve">  </v>
      </c>
      <c r="C1744" s="42" t="str">
        <f>IFERROR(AVERAGE(Data!C1746), "  ")</f>
        <v xml:space="preserve">  </v>
      </c>
      <c r="D1744" s="42" t="str">
        <f>IFERROR(AVERAGE(Data!D1746), "  ")</f>
        <v xml:space="preserve">  </v>
      </c>
      <c r="E1744" s="42" t="str">
        <f>IFERROR(AVERAGE(Data!E1746), "  ")</f>
        <v xml:space="preserve">  </v>
      </c>
      <c r="F1744" s="42" t="str">
        <f>IFERROR(AVERAGE(Data!F1746), "  ")</f>
        <v xml:space="preserve">  </v>
      </c>
      <c r="G1744" s="42" t="str">
        <f>IFERROR(AVERAGE(Data!G1746), "  ")</f>
        <v xml:space="preserve">  </v>
      </c>
      <c r="H1744" s="44" t="str">
        <f>IFERROR(AVERAGE(Data!H1746), "  ")</f>
        <v xml:space="preserve">  </v>
      </c>
      <c r="I1744" s="44" t="str">
        <f>IFERROR(AVERAGE(Data!I1746), "  ")</f>
        <v xml:space="preserve">  </v>
      </c>
      <c r="J1744" s="42" t="str">
        <f>IFERROR(AVERAGE(Data!J1746), "  ")</f>
        <v xml:space="preserve">  </v>
      </c>
      <c r="K1744" s="44" t="str">
        <f>IFERROR(AVERAGE(Data!K1746), "  ")</f>
        <v xml:space="preserve">  </v>
      </c>
      <c r="L1744" s="45" t="str">
        <f>IFERROR(AVERAGE(Data!L1746), "  ")</f>
        <v xml:space="preserve">  </v>
      </c>
    </row>
    <row r="1745" spans="1:12" x14ac:dyDescent="0.2">
      <c r="A1745" s="43"/>
      <c r="B1745" s="42" t="str">
        <f>IFERROR(AVERAGE(Data!B1747), "  ")</f>
        <v xml:space="preserve">  </v>
      </c>
      <c r="C1745" s="42" t="str">
        <f>IFERROR(AVERAGE(Data!C1747), "  ")</f>
        <v xml:space="preserve">  </v>
      </c>
      <c r="D1745" s="42" t="str">
        <f>IFERROR(AVERAGE(Data!D1747), "  ")</f>
        <v xml:space="preserve">  </v>
      </c>
      <c r="E1745" s="42" t="str">
        <f>IFERROR(AVERAGE(Data!E1747), "  ")</f>
        <v xml:space="preserve">  </v>
      </c>
      <c r="F1745" s="42" t="str">
        <f>IFERROR(AVERAGE(Data!F1747), "  ")</f>
        <v xml:space="preserve">  </v>
      </c>
      <c r="G1745" s="42" t="str">
        <f>IFERROR(AVERAGE(Data!G1747), "  ")</f>
        <v xml:space="preserve">  </v>
      </c>
      <c r="H1745" s="44" t="str">
        <f>IFERROR(AVERAGE(Data!H1747), "  ")</f>
        <v xml:space="preserve">  </v>
      </c>
      <c r="I1745" s="44" t="str">
        <f>IFERROR(AVERAGE(Data!I1747), "  ")</f>
        <v xml:space="preserve">  </v>
      </c>
      <c r="J1745" s="42" t="str">
        <f>IFERROR(AVERAGE(Data!J1747), "  ")</f>
        <v xml:space="preserve">  </v>
      </c>
      <c r="K1745" s="44" t="str">
        <f>IFERROR(AVERAGE(Data!K1747), "  ")</f>
        <v xml:space="preserve">  </v>
      </c>
      <c r="L1745" s="45" t="str">
        <f>IFERROR(AVERAGE(Data!L1747), "  ")</f>
        <v xml:space="preserve">  </v>
      </c>
    </row>
    <row r="1746" spans="1:12" x14ac:dyDescent="0.2">
      <c r="A1746" s="43"/>
      <c r="B1746" s="42" t="str">
        <f>IFERROR(AVERAGE(Data!B1748), "  ")</f>
        <v xml:space="preserve">  </v>
      </c>
      <c r="C1746" s="42" t="str">
        <f>IFERROR(AVERAGE(Data!C1748), "  ")</f>
        <v xml:space="preserve">  </v>
      </c>
      <c r="D1746" s="42" t="str">
        <f>IFERROR(AVERAGE(Data!D1748), "  ")</f>
        <v xml:space="preserve">  </v>
      </c>
      <c r="E1746" s="42" t="str">
        <f>IFERROR(AVERAGE(Data!E1748), "  ")</f>
        <v xml:space="preserve">  </v>
      </c>
      <c r="F1746" s="42" t="str">
        <f>IFERROR(AVERAGE(Data!F1748), "  ")</f>
        <v xml:space="preserve">  </v>
      </c>
      <c r="G1746" s="42" t="str">
        <f>IFERROR(AVERAGE(Data!G1748), "  ")</f>
        <v xml:space="preserve">  </v>
      </c>
      <c r="H1746" s="44" t="str">
        <f>IFERROR(AVERAGE(Data!H1748), "  ")</f>
        <v xml:space="preserve">  </v>
      </c>
      <c r="I1746" s="44" t="str">
        <f>IFERROR(AVERAGE(Data!I1748), "  ")</f>
        <v xml:space="preserve">  </v>
      </c>
      <c r="J1746" s="42" t="str">
        <f>IFERROR(AVERAGE(Data!J1748), "  ")</f>
        <v xml:space="preserve">  </v>
      </c>
      <c r="K1746" s="44" t="str">
        <f>IFERROR(AVERAGE(Data!K1748), "  ")</f>
        <v xml:space="preserve">  </v>
      </c>
      <c r="L1746" s="45" t="str">
        <f>IFERROR(AVERAGE(Data!L1748), "  ")</f>
        <v xml:space="preserve">  </v>
      </c>
    </row>
    <row r="1747" spans="1:12" x14ac:dyDescent="0.2">
      <c r="A1747" s="43"/>
      <c r="B1747" s="42" t="str">
        <f>IFERROR(AVERAGE(Data!B1749), "  ")</f>
        <v xml:space="preserve">  </v>
      </c>
      <c r="C1747" s="42" t="str">
        <f>IFERROR(AVERAGE(Data!C1749), "  ")</f>
        <v xml:space="preserve">  </v>
      </c>
      <c r="D1747" s="42" t="str">
        <f>IFERROR(AVERAGE(Data!D1749), "  ")</f>
        <v xml:space="preserve">  </v>
      </c>
      <c r="E1747" s="42" t="str">
        <f>IFERROR(AVERAGE(Data!E1749), "  ")</f>
        <v xml:space="preserve">  </v>
      </c>
      <c r="F1747" s="42" t="str">
        <f>IFERROR(AVERAGE(Data!F1749), "  ")</f>
        <v xml:space="preserve">  </v>
      </c>
      <c r="G1747" s="42" t="str">
        <f>IFERROR(AVERAGE(Data!G1749), "  ")</f>
        <v xml:space="preserve">  </v>
      </c>
      <c r="H1747" s="44" t="str">
        <f>IFERROR(AVERAGE(Data!H1749), "  ")</f>
        <v xml:space="preserve">  </v>
      </c>
      <c r="I1747" s="44" t="str">
        <f>IFERROR(AVERAGE(Data!I1749), "  ")</f>
        <v xml:space="preserve">  </v>
      </c>
      <c r="J1747" s="42" t="str">
        <f>IFERROR(AVERAGE(Data!J1749), "  ")</f>
        <v xml:space="preserve">  </v>
      </c>
      <c r="K1747" s="44" t="str">
        <f>IFERROR(AVERAGE(Data!K1749), "  ")</f>
        <v xml:space="preserve">  </v>
      </c>
      <c r="L1747" s="45" t="str">
        <f>IFERROR(AVERAGE(Data!L1749), "  ")</f>
        <v xml:space="preserve">  </v>
      </c>
    </row>
    <row r="1748" spans="1:12" x14ac:dyDescent="0.2">
      <c r="A1748" s="43"/>
      <c r="B1748" s="42" t="str">
        <f>IFERROR(AVERAGE(Data!B1750), "  ")</f>
        <v xml:space="preserve">  </v>
      </c>
      <c r="C1748" s="42" t="str">
        <f>IFERROR(AVERAGE(Data!C1750), "  ")</f>
        <v xml:space="preserve">  </v>
      </c>
      <c r="D1748" s="42" t="str">
        <f>IFERROR(AVERAGE(Data!D1750), "  ")</f>
        <v xml:space="preserve">  </v>
      </c>
      <c r="E1748" s="42" t="str">
        <f>IFERROR(AVERAGE(Data!E1750), "  ")</f>
        <v xml:space="preserve">  </v>
      </c>
      <c r="F1748" s="42" t="str">
        <f>IFERROR(AVERAGE(Data!F1750), "  ")</f>
        <v xml:space="preserve">  </v>
      </c>
      <c r="G1748" s="42" t="str">
        <f>IFERROR(AVERAGE(Data!G1750), "  ")</f>
        <v xml:space="preserve">  </v>
      </c>
      <c r="H1748" s="44" t="str">
        <f>IFERROR(AVERAGE(Data!H1750), "  ")</f>
        <v xml:space="preserve">  </v>
      </c>
      <c r="I1748" s="44" t="str">
        <f>IFERROR(AVERAGE(Data!I1750), "  ")</f>
        <v xml:space="preserve">  </v>
      </c>
      <c r="J1748" s="42" t="str">
        <f>IFERROR(AVERAGE(Data!J1750), "  ")</f>
        <v xml:space="preserve">  </v>
      </c>
      <c r="K1748" s="44" t="str">
        <f>IFERROR(AVERAGE(Data!K1750), "  ")</f>
        <v xml:space="preserve">  </v>
      </c>
      <c r="L1748" s="45" t="str">
        <f>IFERROR(AVERAGE(Data!L1750), "  ")</f>
        <v xml:space="preserve">  </v>
      </c>
    </row>
    <row r="1749" spans="1:12" x14ac:dyDescent="0.2">
      <c r="A1749" s="43"/>
      <c r="B1749" s="42" t="str">
        <f>IFERROR(AVERAGE(Data!B1751), "  ")</f>
        <v xml:space="preserve">  </v>
      </c>
      <c r="C1749" s="42" t="str">
        <f>IFERROR(AVERAGE(Data!C1751), "  ")</f>
        <v xml:space="preserve">  </v>
      </c>
      <c r="D1749" s="42" t="str">
        <f>IFERROR(AVERAGE(Data!D1751), "  ")</f>
        <v xml:space="preserve">  </v>
      </c>
      <c r="E1749" s="42" t="str">
        <f>IFERROR(AVERAGE(Data!E1751), "  ")</f>
        <v xml:space="preserve">  </v>
      </c>
      <c r="F1749" s="42" t="str">
        <f>IFERROR(AVERAGE(Data!F1751), "  ")</f>
        <v xml:space="preserve">  </v>
      </c>
      <c r="G1749" s="42" t="str">
        <f>IFERROR(AVERAGE(Data!G1751), "  ")</f>
        <v xml:space="preserve">  </v>
      </c>
      <c r="H1749" s="44" t="str">
        <f>IFERROR(AVERAGE(Data!H1751), "  ")</f>
        <v xml:space="preserve">  </v>
      </c>
      <c r="I1749" s="44" t="str">
        <f>IFERROR(AVERAGE(Data!I1751), "  ")</f>
        <v xml:space="preserve">  </v>
      </c>
      <c r="J1749" s="42" t="str">
        <f>IFERROR(AVERAGE(Data!J1751), "  ")</f>
        <v xml:space="preserve">  </v>
      </c>
      <c r="K1749" s="44" t="str">
        <f>IFERROR(AVERAGE(Data!K1751), "  ")</f>
        <v xml:space="preserve">  </v>
      </c>
      <c r="L1749" s="45" t="str">
        <f>IFERROR(AVERAGE(Data!L1751), "  ")</f>
        <v xml:space="preserve">  </v>
      </c>
    </row>
    <row r="1750" spans="1:12" x14ac:dyDescent="0.2">
      <c r="A1750" s="43"/>
      <c r="B1750" s="42" t="str">
        <f>IFERROR(AVERAGE(Data!B1752), "  ")</f>
        <v xml:space="preserve">  </v>
      </c>
      <c r="C1750" s="42" t="str">
        <f>IFERROR(AVERAGE(Data!C1752), "  ")</f>
        <v xml:space="preserve">  </v>
      </c>
      <c r="D1750" s="42" t="str">
        <f>IFERROR(AVERAGE(Data!D1752), "  ")</f>
        <v xml:space="preserve">  </v>
      </c>
      <c r="E1750" s="42" t="str">
        <f>IFERROR(AVERAGE(Data!E1752), "  ")</f>
        <v xml:space="preserve">  </v>
      </c>
      <c r="F1750" s="42" t="str">
        <f>IFERROR(AVERAGE(Data!F1752), "  ")</f>
        <v xml:space="preserve">  </v>
      </c>
      <c r="G1750" s="42" t="str">
        <f>IFERROR(AVERAGE(Data!G1752), "  ")</f>
        <v xml:space="preserve">  </v>
      </c>
      <c r="H1750" s="44" t="str">
        <f>IFERROR(AVERAGE(Data!H1752), "  ")</f>
        <v xml:space="preserve">  </v>
      </c>
      <c r="I1750" s="44" t="str">
        <f>IFERROR(AVERAGE(Data!I1752), "  ")</f>
        <v xml:space="preserve">  </v>
      </c>
      <c r="J1750" s="42" t="str">
        <f>IFERROR(AVERAGE(Data!J1752), "  ")</f>
        <v xml:space="preserve">  </v>
      </c>
      <c r="K1750" s="44" t="str">
        <f>IFERROR(AVERAGE(Data!K1752), "  ")</f>
        <v xml:space="preserve">  </v>
      </c>
      <c r="L1750" s="45" t="str">
        <f>IFERROR(AVERAGE(Data!L1752), "  ")</f>
        <v xml:space="preserve">  </v>
      </c>
    </row>
    <row r="1751" spans="1:12" x14ac:dyDescent="0.2">
      <c r="A1751" s="43"/>
      <c r="B1751" s="42" t="str">
        <f>IFERROR(AVERAGE(Data!B1753), "  ")</f>
        <v xml:space="preserve">  </v>
      </c>
      <c r="C1751" s="42" t="str">
        <f>IFERROR(AVERAGE(Data!C1753), "  ")</f>
        <v xml:space="preserve">  </v>
      </c>
      <c r="D1751" s="42" t="str">
        <f>IFERROR(AVERAGE(Data!D1753), "  ")</f>
        <v xml:space="preserve">  </v>
      </c>
      <c r="E1751" s="42" t="str">
        <f>IFERROR(AVERAGE(Data!E1753), "  ")</f>
        <v xml:space="preserve">  </v>
      </c>
      <c r="F1751" s="42" t="str">
        <f>IFERROR(AVERAGE(Data!F1753), "  ")</f>
        <v xml:space="preserve">  </v>
      </c>
      <c r="G1751" s="42" t="str">
        <f>IFERROR(AVERAGE(Data!G1753), "  ")</f>
        <v xml:space="preserve">  </v>
      </c>
      <c r="H1751" s="44" t="str">
        <f>IFERROR(AVERAGE(Data!H1753), "  ")</f>
        <v xml:space="preserve">  </v>
      </c>
      <c r="I1751" s="44" t="str">
        <f>IFERROR(AVERAGE(Data!I1753), "  ")</f>
        <v xml:space="preserve">  </v>
      </c>
      <c r="J1751" s="42" t="str">
        <f>IFERROR(AVERAGE(Data!J1753), "  ")</f>
        <v xml:space="preserve">  </v>
      </c>
      <c r="K1751" s="44" t="str">
        <f>IFERROR(AVERAGE(Data!K1753), "  ")</f>
        <v xml:space="preserve">  </v>
      </c>
      <c r="L1751" s="45" t="str">
        <f>IFERROR(AVERAGE(Data!L1753), "  ")</f>
        <v xml:space="preserve">  </v>
      </c>
    </row>
    <row r="1752" spans="1:12" x14ac:dyDescent="0.2">
      <c r="A1752" s="43"/>
      <c r="B1752" s="42" t="str">
        <f>IFERROR(AVERAGE(Data!B1754), "  ")</f>
        <v xml:space="preserve">  </v>
      </c>
      <c r="C1752" s="42" t="str">
        <f>IFERROR(AVERAGE(Data!C1754), "  ")</f>
        <v xml:space="preserve">  </v>
      </c>
      <c r="D1752" s="42" t="str">
        <f>IFERROR(AVERAGE(Data!D1754), "  ")</f>
        <v xml:space="preserve">  </v>
      </c>
      <c r="E1752" s="42" t="str">
        <f>IFERROR(AVERAGE(Data!E1754), "  ")</f>
        <v xml:space="preserve">  </v>
      </c>
      <c r="F1752" s="42" t="str">
        <f>IFERROR(AVERAGE(Data!F1754), "  ")</f>
        <v xml:space="preserve">  </v>
      </c>
      <c r="G1752" s="42" t="str">
        <f>IFERROR(AVERAGE(Data!G1754), "  ")</f>
        <v xml:space="preserve">  </v>
      </c>
      <c r="H1752" s="44" t="str">
        <f>IFERROR(AVERAGE(Data!H1754), "  ")</f>
        <v xml:space="preserve">  </v>
      </c>
      <c r="I1752" s="44" t="str">
        <f>IFERROR(AVERAGE(Data!I1754), "  ")</f>
        <v xml:space="preserve">  </v>
      </c>
      <c r="J1752" s="42" t="str">
        <f>IFERROR(AVERAGE(Data!J1754), "  ")</f>
        <v xml:space="preserve">  </v>
      </c>
      <c r="K1752" s="44" t="str">
        <f>IFERROR(AVERAGE(Data!K1754), "  ")</f>
        <v xml:space="preserve">  </v>
      </c>
      <c r="L1752" s="45" t="str">
        <f>IFERROR(AVERAGE(Data!L1754), "  ")</f>
        <v xml:space="preserve">  </v>
      </c>
    </row>
    <row r="1753" spans="1:12" x14ac:dyDescent="0.2">
      <c r="A1753" s="43"/>
      <c r="B1753" s="42" t="str">
        <f>IFERROR(AVERAGE(Data!B1755), "  ")</f>
        <v xml:space="preserve">  </v>
      </c>
      <c r="C1753" s="42" t="str">
        <f>IFERROR(AVERAGE(Data!C1755), "  ")</f>
        <v xml:space="preserve">  </v>
      </c>
      <c r="D1753" s="42" t="str">
        <f>IFERROR(AVERAGE(Data!D1755), "  ")</f>
        <v xml:space="preserve">  </v>
      </c>
      <c r="E1753" s="42" t="str">
        <f>IFERROR(AVERAGE(Data!E1755), "  ")</f>
        <v xml:space="preserve">  </v>
      </c>
      <c r="F1753" s="42" t="str">
        <f>IFERROR(AVERAGE(Data!F1755), "  ")</f>
        <v xml:space="preserve">  </v>
      </c>
      <c r="G1753" s="42" t="str">
        <f>IFERROR(AVERAGE(Data!G1755), "  ")</f>
        <v xml:space="preserve">  </v>
      </c>
      <c r="H1753" s="44" t="str">
        <f>IFERROR(AVERAGE(Data!H1755), "  ")</f>
        <v xml:space="preserve">  </v>
      </c>
      <c r="I1753" s="44" t="str">
        <f>IFERROR(AVERAGE(Data!I1755), "  ")</f>
        <v xml:space="preserve">  </v>
      </c>
      <c r="J1753" s="42" t="str">
        <f>IFERROR(AVERAGE(Data!J1755), "  ")</f>
        <v xml:space="preserve">  </v>
      </c>
      <c r="K1753" s="44" t="str">
        <f>IFERROR(AVERAGE(Data!K1755), "  ")</f>
        <v xml:space="preserve">  </v>
      </c>
      <c r="L1753" s="45" t="str">
        <f>IFERROR(AVERAGE(Data!L1755), "  ")</f>
        <v xml:space="preserve">  </v>
      </c>
    </row>
    <row r="1754" spans="1:12" x14ac:dyDescent="0.2">
      <c r="A1754" s="43"/>
      <c r="B1754" s="42" t="str">
        <f>IFERROR(AVERAGE(Data!B1756), "  ")</f>
        <v xml:space="preserve">  </v>
      </c>
      <c r="C1754" s="42" t="str">
        <f>IFERROR(AVERAGE(Data!C1756), "  ")</f>
        <v xml:space="preserve">  </v>
      </c>
      <c r="D1754" s="42" t="str">
        <f>IFERROR(AVERAGE(Data!D1756), "  ")</f>
        <v xml:space="preserve">  </v>
      </c>
      <c r="E1754" s="42" t="str">
        <f>IFERROR(AVERAGE(Data!E1756), "  ")</f>
        <v xml:space="preserve">  </v>
      </c>
      <c r="F1754" s="42" t="str">
        <f>IFERROR(AVERAGE(Data!F1756), "  ")</f>
        <v xml:space="preserve">  </v>
      </c>
      <c r="G1754" s="42" t="str">
        <f>IFERROR(AVERAGE(Data!G1756), "  ")</f>
        <v xml:space="preserve">  </v>
      </c>
      <c r="H1754" s="44" t="str">
        <f>IFERROR(AVERAGE(Data!H1756), "  ")</f>
        <v xml:space="preserve">  </v>
      </c>
      <c r="I1754" s="44" t="str">
        <f>IFERROR(AVERAGE(Data!I1756), "  ")</f>
        <v xml:space="preserve">  </v>
      </c>
      <c r="J1754" s="42" t="str">
        <f>IFERROR(AVERAGE(Data!J1756), "  ")</f>
        <v xml:space="preserve">  </v>
      </c>
      <c r="K1754" s="44" t="str">
        <f>IFERROR(AVERAGE(Data!K1756), "  ")</f>
        <v xml:space="preserve">  </v>
      </c>
      <c r="L1754" s="45" t="str">
        <f>IFERROR(AVERAGE(Data!L1756), "  ")</f>
        <v xml:space="preserve">  </v>
      </c>
    </row>
    <row r="1755" spans="1:12" x14ac:dyDescent="0.2">
      <c r="A1755" s="43"/>
      <c r="B1755" s="42" t="str">
        <f>IFERROR(AVERAGE(Data!B1757), "  ")</f>
        <v xml:space="preserve">  </v>
      </c>
      <c r="C1755" s="42" t="str">
        <f>IFERROR(AVERAGE(Data!C1757), "  ")</f>
        <v xml:space="preserve">  </v>
      </c>
      <c r="D1755" s="42" t="str">
        <f>IFERROR(AVERAGE(Data!D1757), "  ")</f>
        <v xml:space="preserve">  </v>
      </c>
      <c r="E1755" s="42" t="str">
        <f>IFERROR(AVERAGE(Data!E1757), "  ")</f>
        <v xml:space="preserve">  </v>
      </c>
      <c r="F1755" s="42" t="str">
        <f>IFERROR(AVERAGE(Data!F1757), "  ")</f>
        <v xml:space="preserve">  </v>
      </c>
      <c r="G1755" s="42" t="str">
        <f>IFERROR(AVERAGE(Data!G1757), "  ")</f>
        <v xml:space="preserve">  </v>
      </c>
      <c r="H1755" s="44" t="str">
        <f>IFERROR(AVERAGE(Data!H1757), "  ")</f>
        <v xml:space="preserve">  </v>
      </c>
      <c r="I1755" s="44" t="str">
        <f>IFERROR(AVERAGE(Data!I1757), "  ")</f>
        <v xml:space="preserve">  </v>
      </c>
      <c r="J1755" s="42" t="str">
        <f>IFERROR(AVERAGE(Data!J1757), "  ")</f>
        <v xml:space="preserve">  </v>
      </c>
      <c r="K1755" s="44" t="str">
        <f>IFERROR(AVERAGE(Data!K1757), "  ")</f>
        <v xml:space="preserve">  </v>
      </c>
      <c r="L1755" s="45" t="str">
        <f>IFERROR(AVERAGE(Data!L1757), "  ")</f>
        <v xml:space="preserve">  </v>
      </c>
    </row>
    <row r="1756" spans="1:12" x14ac:dyDescent="0.2">
      <c r="A1756" s="43"/>
      <c r="B1756" s="42" t="str">
        <f>IFERROR(AVERAGE(Data!B1758), "  ")</f>
        <v xml:space="preserve">  </v>
      </c>
      <c r="C1756" s="42" t="str">
        <f>IFERROR(AVERAGE(Data!C1758), "  ")</f>
        <v xml:space="preserve">  </v>
      </c>
      <c r="D1756" s="42" t="str">
        <f>IFERROR(AVERAGE(Data!D1758), "  ")</f>
        <v xml:space="preserve">  </v>
      </c>
      <c r="E1756" s="42" t="str">
        <f>IFERROR(AVERAGE(Data!E1758), "  ")</f>
        <v xml:space="preserve">  </v>
      </c>
      <c r="F1756" s="42" t="str">
        <f>IFERROR(AVERAGE(Data!F1758), "  ")</f>
        <v xml:space="preserve">  </v>
      </c>
      <c r="G1756" s="42" t="str">
        <f>IFERROR(AVERAGE(Data!G1758), "  ")</f>
        <v xml:space="preserve">  </v>
      </c>
      <c r="H1756" s="44" t="str">
        <f>IFERROR(AVERAGE(Data!H1758), "  ")</f>
        <v xml:space="preserve">  </v>
      </c>
      <c r="I1756" s="44" t="str">
        <f>IFERROR(AVERAGE(Data!I1758), "  ")</f>
        <v xml:space="preserve">  </v>
      </c>
      <c r="J1756" s="42" t="str">
        <f>IFERROR(AVERAGE(Data!J1758), "  ")</f>
        <v xml:space="preserve">  </v>
      </c>
      <c r="K1756" s="44" t="str">
        <f>IFERROR(AVERAGE(Data!K1758), "  ")</f>
        <v xml:space="preserve">  </v>
      </c>
      <c r="L1756" s="45" t="str">
        <f>IFERROR(AVERAGE(Data!L1758), "  ")</f>
        <v xml:space="preserve">  </v>
      </c>
    </row>
    <row r="1757" spans="1:12" x14ac:dyDescent="0.2">
      <c r="A1757" s="43"/>
      <c r="B1757" s="42" t="str">
        <f>IFERROR(AVERAGE(Data!B1759), "  ")</f>
        <v xml:space="preserve">  </v>
      </c>
      <c r="C1757" s="42" t="str">
        <f>IFERROR(AVERAGE(Data!C1759), "  ")</f>
        <v xml:space="preserve">  </v>
      </c>
      <c r="D1757" s="42" t="str">
        <f>IFERROR(AVERAGE(Data!D1759), "  ")</f>
        <v xml:space="preserve">  </v>
      </c>
      <c r="E1757" s="42" t="str">
        <f>IFERROR(AVERAGE(Data!E1759), "  ")</f>
        <v xml:space="preserve">  </v>
      </c>
      <c r="F1757" s="42" t="str">
        <f>IFERROR(AVERAGE(Data!F1759), "  ")</f>
        <v xml:space="preserve">  </v>
      </c>
      <c r="G1757" s="42" t="str">
        <f>IFERROR(AVERAGE(Data!G1759), "  ")</f>
        <v xml:space="preserve">  </v>
      </c>
      <c r="H1757" s="44" t="str">
        <f>IFERROR(AVERAGE(Data!H1759), "  ")</f>
        <v xml:space="preserve">  </v>
      </c>
      <c r="I1757" s="44" t="str">
        <f>IFERROR(AVERAGE(Data!I1759), "  ")</f>
        <v xml:space="preserve">  </v>
      </c>
      <c r="J1757" s="42" t="str">
        <f>IFERROR(AVERAGE(Data!J1759), "  ")</f>
        <v xml:space="preserve">  </v>
      </c>
      <c r="K1757" s="44" t="str">
        <f>IFERROR(AVERAGE(Data!K1759), "  ")</f>
        <v xml:space="preserve">  </v>
      </c>
      <c r="L1757" s="45" t="str">
        <f>IFERROR(AVERAGE(Data!L1759), "  ")</f>
        <v xml:space="preserve">  </v>
      </c>
    </row>
    <row r="1758" spans="1:12" x14ac:dyDescent="0.2">
      <c r="A1758" s="43"/>
      <c r="B1758" s="42" t="str">
        <f>IFERROR(AVERAGE(Data!B1760), "  ")</f>
        <v xml:space="preserve">  </v>
      </c>
      <c r="C1758" s="42" t="str">
        <f>IFERROR(AVERAGE(Data!C1760), "  ")</f>
        <v xml:space="preserve">  </v>
      </c>
      <c r="D1758" s="42" t="str">
        <f>IFERROR(AVERAGE(Data!D1760), "  ")</f>
        <v xml:space="preserve">  </v>
      </c>
      <c r="E1758" s="42" t="str">
        <f>IFERROR(AVERAGE(Data!E1760), "  ")</f>
        <v xml:space="preserve">  </v>
      </c>
      <c r="F1758" s="42" t="str">
        <f>IFERROR(AVERAGE(Data!F1760), "  ")</f>
        <v xml:space="preserve">  </v>
      </c>
      <c r="G1758" s="42" t="str">
        <f>IFERROR(AVERAGE(Data!G1760), "  ")</f>
        <v xml:space="preserve">  </v>
      </c>
      <c r="H1758" s="44" t="str">
        <f>IFERROR(AVERAGE(Data!H1760), "  ")</f>
        <v xml:space="preserve">  </v>
      </c>
      <c r="I1758" s="44" t="str">
        <f>IFERROR(AVERAGE(Data!I1760), "  ")</f>
        <v xml:space="preserve">  </v>
      </c>
      <c r="J1758" s="42" t="str">
        <f>IFERROR(AVERAGE(Data!J1760), "  ")</f>
        <v xml:space="preserve">  </v>
      </c>
      <c r="K1758" s="44" t="str">
        <f>IFERROR(AVERAGE(Data!K1760), "  ")</f>
        <v xml:space="preserve">  </v>
      </c>
      <c r="L1758" s="45" t="str">
        <f>IFERROR(AVERAGE(Data!L1760), "  ")</f>
        <v xml:space="preserve">  </v>
      </c>
    </row>
    <row r="1759" spans="1:12" x14ac:dyDescent="0.2">
      <c r="A1759" s="43"/>
      <c r="B1759" s="42" t="str">
        <f>IFERROR(AVERAGE(Data!B1761), "  ")</f>
        <v xml:space="preserve">  </v>
      </c>
      <c r="C1759" s="42" t="str">
        <f>IFERROR(AVERAGE(Data!C1761), "  ")</f>
        <v xml:space="preserve">  </v>
      </c>
      <c r="D1759" s="42" t="str">
        <f>IFERROR(AVERAGE(Data!D1761), "  ")</f>
        <v xml:space="preserve">  </v>
      </c>
      <c r="E1759" s="42" t="str">
        <f>IFERROR(AVERAGE(Data!E1761), "  ")</f>
        <v xml:space="preserve">  </v>
      </c>
      <c r="F1759" s="42" t="str">
        <f>IFERROR(AVERAGE(Data!F1761), "  ")</f>
        <v xml:space="preserve">  </v>
      </c>
      <c r="G1759" s="42" t="str">
        <f>IFERROR(AVERAGE(Data!G1761), "  ")</f>
        <v xml:space="preserve">  </v>
      </c>
      <c r="H1759" s="44" t="str">
        <f>IFERROR(AVERAGE(Data!H1761), "  ")</f>
        <v xml:space="preserve">  </v>
      </c>
      <c r="I1759" s="44" t="str">
        <f>IFERROR(AVERAGE(Data!I1761), "  ")</f>
        <v xml:space="preserve">  </v>
      </c>
      <c r="J1759" s="42" t="str">
        <f>IFERROR(AVERAGE(Data!J1761), "  ")</f>
        <v xml:space="preserve">  </v>
      </c>
      <c r="K1759" s="44" t="str">
        <f>IFERROR(AVERAGE(Data!K1761), "  ")</f>
        <v xml:space="preserve">  </v>
      </c>
      <c r="L1759" s="45" t="str">
        <f>IFERROR(AVERAGE(Data!L1761), "  ")</f>
        <v xml:space="preserve">  </v>
      </c>
    </row>
    <row r="1760" spans="1:12" x14ac:dyDescent="0.2">
      <c r="A1760" s="43"/>
      <c r="B1760" s="42" t="str">
        <f>IFERROR(AVERAGE(Data!B1762), "  ")</f>
        <v xml:space="preserve">  </v>
      </c>
      <c r="C1760" s="42" t="str">
        <f>IFERROR(AVERAGE(Data!C1762), "  ")</f>
        <v xml:space="preserve">  </v>
      </c>
      <c r="D1760" s="42" t="str">
        <f>IFERROR(AVERAGE(Data!D1762), "  ")</f>
        <v xml:space="preserve">  </v>
      </c>
      <c r="E1760" s="42" t="str">
        <f>IFERROR(AVERAGE(Data!E1762), "  ")</f>
        <v xml:space="preserve">  </v>
      </c>
      <c r="F1760" s="42" t="str">
        <f>IFERROR(AVERAGE(Data!F1762), "  ")</f>
        <v xml:space="preserve">  </v>
      </c>
      <c r="G1760" s="42" t="str">
        <f>IFERROR(AVERAGE(Data!G1762), "  ")</f>
        <v xml:space="preserve">  </v>
      </c>
      <c r="H1760" s="44" t="str">
        <f>IFERROR(AVERAGE(Data!H1762), "  ")</f>
        <v xml:space="preserve">  </v>
      </c>
      <c r="I1760" s="44" t="str">
        <f>IFERROR(AVERAGE(Data!I1762), "  ")</f>
        <v xml:space="preserve">  </v>
      </c>
      <c r="J1760" s="42" t="str">
        <f>IFERROR(AVERAGE(Data!J1762), "  ")</f>
        <v xml:space="preserve">  </v>
      </c>
      <c r="K1760" s="44" t="str">
        <f>IFERROR(AVERAGE(Data!K1762), "  ")</f>
        <v xml:space="preserve">  </v>
      </c>
      <c r="L1760" s="45" t="str">
        <f>IFERROR(AVERAGE(Data!L1762), "  ")</f>
        <v xml:space="preserve">  </v>
      </c>
    </row>
    <row r="1761" spans="1:12" x14ac:dyDescent="0.2">
      <c r="A1761" s="43"/>
      <c r="B1761" s="42" t="str">
        <f>IFERROR(AVERAGE(Data!B1763), "  ")</f>
        <v xml:space="preserve">  </v>
      </c>
      <c r="C1761" s="42" t="str">
        <f>IFERROR(AVERAGE(Data!C1763), "  ")</f>
        <v xml:space="preserve">  </v>
      </c>
      <c r="D1761" s="42" t="str">
        <f>IFERROR(AVERAGE(Data!D1763), "  ")</f>
        <v xml:space="preserve">  </v>
      </c>
      <c r="E1761" s="42" t="str">
        <f>IFERROR(AVERAGE(Data!E1763), "  ")</f>
        <v xml:space="preserve">  </v>
      </c>
      <c r="F1761" s="42" t="str">
        <f>IFERROR(AVERAGE(Data!F1763), "  ")</f>
        <v xml:space="preserve">  </v>
      </c>
      <c r="G1761" s="42" t="str">
        <f>IFERROR(AVERAGE(Data!G1763), "  ")</f>
        <v xml:space="preserve">  </v>
      </c>
      <c r="H1761" s="44" t="str">
        <f>IFERROR(AVERAGE(Data!H1763), "  ")</f>
        <v xml:space="preserve">  </v>
      </c>
      <c r="I1761" s="44" t="str">
        <f>IFERROR(AVERAGE(Data!I1763), "  ")</f>
        <v xml:space="preserve">  </v>
      </c>
      <c r="J1761" s="42" t="str">
        <f>IFERROR(AVERAGE(Data!J1763), "  ")</f>
        <v xml:space="preserve">  </v>
      </c>
      <c r="K1761" s="44" t="str">
        <f>IFERROR(AVERAGE(Data!K1763), "  ")</f>
        <v xml:space="preserve">  </v>
      </c>
      <c r="L1761" s="45" t="str">
        <f>IFERROR(AVERAGE(Data!L1763), "  ")</f>
        <v xml:space="preserve">  </v>
      </c>
    </row>
    <row r="1762" spans="1:12" x14ac:dyDescent="0.2">
      <c r="A1762" s="43"/>
      <c r="B1762" s="42" t="str">
        <f>IFERROR(AVERAGE(Data!B1764), "  ")</f>
        <v xml:space="preserve">  </v>
      </c>
      <c r="C1762" s="42" t="str">
        <f>IFERROR(AVERAGE(Data!C1764), "  ")</f>
        <v xml:space="preserve">  </v>
      </c>
      <c r="D1762" s="42" t="str">
        <f>IFERROR(AVERAGE(Data!D1764), "  ")</f>
        <v xml:space="preserve">  </v>
      </c>
      <c r="E1762" s="42" t="str">
        <f>IFERROR(AVERAGE(Data!E1764), "  ")</f>
        <v xml:space="preserve">  </v>
      </c>
      <c r="F1762" s="42" t="str">
        <f>IFERROR(AVERAGE(Data!F1764), "  ")</f>
        <v xml:space="preserve">  </v>
      </c>
      <c r="G1762" s="42" t="str">
        <f>IFERROR(AVERAGE(Data!G1764), "  ")</f>
        <v xml:space="preserve">  </v>
      </c>
      <c r="H1762" s="44" t="str">
        <f>IFERROR(AVERAGE(Data!H1764), "  ")</f>
        <v xml:space="preserve">  </v>
      </c>
      <c r="I1762" s="44" t="str">
        <f>IFERROR(AVERAGE(Data!I1764), "  ")</f>
        <v xml:space="preserve">  </v>
      </c>
      <c r="J1762" s="42" t="str">
        <f>IFERROR(AVERAGE(Data!J1764), "  ")</f>
        <v xml:space="preserve">  </v>
      </c>
      <c r="K1762" s="44" t="str">
        <f>IFERROR(AVERAGE(Data!K1764), "  ")</f>
        <v xml:space="preserve">  </v>
      </c>
      <c r="L1762" s="45" t="str">
        <f>IFERROR(AVERAGE(Data!L1764), "  ")</f>
        <v xml:space="preserve">  </v>
      </c>
    </row>
    <row r="1763" spans="1:12" x14ac:dyDescent="0.2">
      <c r="A1763" s="43"/>
      <c r="B1763" s="42" t="str">
        <f>IFERROR(AVERAGE(Data!B1765), "  ")</f>
        <v xml:space="preserve">  </v>
      </c>
      <c r="C1763" s="42" t="str">
        <f>IFERROR(AVERAGE(Data!C1765), "  ")</f>
        <v xml:space="preserve">  </v>
      </c>
      <c r="D1763" s="42" t="str">
        <f>IFERROR(AVERAGE(Data!D1765), "  ")</f>
        <v xml:space="preserve">  </v>
      </c>
      <c r="E1763" s="42" t="str">
        <f>IFERROR(AVERAGE(Data!E1765), "  ")</f>
        <v xml:space="preserve">  </v>
      </c>
      <c r="F1763" s="42" t="str">
        <f>IFERROR(AVERAGE(Data!F1765), "  ")</f>
        <v xml:space="preserve">  </v>
      </c>
      <c r="G1763" s="42" t="str">
        <f>IFERROR(AVERAGE(Data!G1765), "  ")</f>
        <v xml:space="preserve">  </v>
      </c>
      <c r="H1763" s="44" t="str">
        <f>IFERROR(AVERAGE(Data!H1765), "  ")</f>
        <v xml:space="preserve">  </v>
      </c>
      <c r="I1763" s="44" t="str">
        <f>IFERROR(AVERAGE(Data!I1765), "  ")</f>
        <v xml:space="preserve">  </v>
      </c>
      <c r="J1763" s="42" t="str">
        <f>IFERROR(AVERAGE(Data!J1765), "  ")</f>
        <v xml:space="preserve">  </v>
      </c>
      <c r="K1763" s="44" t="str">
        <f>IFERROR(AVERAGE(Data!K1765), "  ")</f>
        <v xml:space="preserve">  </v>
      </c>
      <c r="L1763" s="45" t="str">
        <f>IFERROR(AVERAGE(Data!L1765), "  ")</f>
        <v xml:space="preserve">  </v>
      </c>
    </row>
    <row r="1764" spans="1:12" x14ac:dyDescent="0.2">
      <c r="A1764" s="43"/>
      <c r="B1764" s="42" t="str">
        <f>IFERROR(AVERAGE(Data!B1766), "  ")</f>
        <v xml:space="preserve">  </v>
      </c>
      <c r="C1764" s="42" t="str">
        <f>IFERROR(AVERAGE(Data!C1766), "  ")</f>
        <v xml:space="preserve">  </v>
      </c>
      <c r="D1764" s="42" t="str">
        <f>IFERROR(AVERAGE(Data!D1766), "  ")</f>
        <v xml:space="preserve">  </v>
      </c>
      <c r="E1764" s="42" t="str">
        <f>IFERROR(AVERAGE(Data!E1766), "  ")</f>
        <v xml:space="preserve">  </v>
      </c>
      <c r="F1764" s="42" t="str">
        <f>IFERROR(AVERAGE(Data!F1766), "  ")</f>
        <v xml:space="preserve">  </v>
      </c>
      <c r="G1764" s="42" t="str">
        <f>IFERROR(AVERAGE(Data!G1766), "  ")</f>
        <v xml:space="preserve">  </v>
      </c>
      <c r="H1764" s="44" t="str">
        <f>IFERROR(AVERAGE(Data!H1766), "  ")</f>
        <v xml:space="preserve">  </v>
      </c>
      <c r="I1764" s="44" t="str">
        <f>IFERROR(AVERAGE(Data!I1766), "  ")</f>
        <v xml:space="preserve">  </v>
      </c>
      <c r="J1764" s="42" t="str">
        <f>IFERROR(AVERAGE(Data!J1766), "  ")</f>
        <v xml:space="preserve">  </v>
      </c>
      <c r="K1764" s="44" t="str">
        <f>IFERROR(AVERAGE(Data!K1766), "  ")</f>
        <v xml:space="preserve">  </v>
      </c>
      <c r="L1764" s="45" t="str">
        <f>IFERROR(AVERAGE(Data!L1766), "  ")</f>
        <v xml:space="preserve">  </v>
      </c>
    </row>
    <row r="1765" spans="1:12" x14ac:dyDescent="0.2">
      <c r="A1765" s="43"/>
      <c r="B1765" s="42" t="str">
        <f>IFERROR(AVERAGE(Data!B1767), "  ")</f>
        <v xml:space="preserve">  </v>
      </c>
      <c r="C1765" s="42" t="str">
        <f>IFERROR(AVERAGE(Data!C1767), "  ")</f>
        <v xml:space="preserve">  </v>
      </c>
      <c r="D1765" s="42" t="str">
        <f>IFERROR(AVERAGE(Data!D1767), "  ")</f>
        <v xml:space="preserve">  </v>
      </c>
      <c r="E1765" s="42" t="str">
        <f>IFERROR(AVERAGE(Data!E1767), "  ")</f>
        <v xml:space="preserve">  </v>
      </c>
      <c r="F1765" s="42" t="str">
        <f>IFERROR(AVERAGE(Data!F1767), "  ")</f>
        <v xml:space="preserve">  </v>
      </c>
      <c r="G1765" s="42" t="str">
        <f>IFERROR(AVERAGE(Data!G1767), "  ")</f>
        <v xml:space="preserve">  </v>
      </c>
      <c r="H1765" s="44" t="str">
        <f>IFERROR(AVERAGE(Data!H1767), "  ")</f>
        <v xml:space="preserve">  </v>
      </c>
      <c r="I1765" s="44" t="str">
        <f>IFERROR(AVERAGE(Data!I1767), "  ")</f>
        <v xml:space="preserve">  </v>
      </c>
      <c r="J1765" s="42" t="str">
        <f>IFERROR(AVERAGE(Data!J1767), "  ")</f>
        <v xml:space="preserve">  </v>
      </c>
      <c r="K1765" s="44" t="str">
        <f>IFERROR(AVERAGE(Data!K1767), "  ")</f>
        <v xml:space="preserve">  </v>
      </c>
      <c r="L1765" s="45" t="str">
        <f>IFERROR(AVERAGE(Data!L1767), "  ")</f>
        <v xml:space="preserve">  </v>
      </c>
    </row>
    <row r="1766" spans="1:12" x14ac:dyDescent="0.2">
      <c r="A1766" s="43"/>
      <c r="B1766" s="42" t="str">
        <f>IFERROR(AVERAGE(Data!B1768), "  ")</f>
        <v xml:space="preserve">  </v>
      </c>
      <c r="C1766" s="42" t="str">
        <f>IFERROR(AVERAGE(Data!C1768), "  ")</f>
        <v xml:space="preserve">  </v>
      </c>
      <c r="D1766" s="42" t="str">
        <f>IFERROR(AVERAGE(Data!D1768), "  ")</f>
        <v xml:space="preserve">  </v>
      </c>
      <c r="E1766" s="42" t="str">
        <f>IFERROR(AVERAGE(Data!E1768), "  ")</f>
        <v xml:space="preserve">  </v>
      </c>
      <c r="F1766" s="42" t="str">
        <f>IFERROR(AVERAGE(Data!F1768), "  ")</f>
        <v xml:space="preserve">  </v>
      </c>
      <c r="G1766" s="42" t="str">
        <f>IFERROR(AVERAGE(Data!G1768), "  ")</f>
        <v xml:space="preserve">  </v>
      </c>
      <c r="H1766" s="44" t="str">
        <f>IFERROR(AVERAGE(Data!H1768), "  ")</f>
        <v xml:space="preserve">  </v>
      </c>
      <c r="I1766" s="44" t="str">
        <f>IFERROR(AVERAGE(Data!I1768), "  ")</f>
        <v xml:space="preserve">  </v>
      </c>
      <c r="J1766" s="42" t="str">
        <f>IFERROR(AVERAGE(Data!J1768), "  ")</f>
        <v xml:space="preserve">  </v>
      </c>
      <c r="K1766" s="44" t="str">
        <f>IFERROR(AVERAGE(Data!K1768), "  ")</f>
        <v xml:space="preserve">  </v>
      </c>
      <c r="L1766" s="45" t="str">
        <f>IFERROR(AVERAGE(Data!L1768), "  ")</f>
        <v xml:space="preserve">  </v>
      </c>
    </row>
    <row r="1767" spans="1:12" x14ac:dyDescent="0.2">
      <c r="A1767" s="43"/>
      <c r="B1767" s="42" t="str">
        <f>IFERROR(AVERAGE(Data!B1769), "  ")</f>
        <v xml:space="preserve">  </v>
      </c>
      <c r="C1767" s="42" t="str">
        <f>IFERROR(AVERAGE(Data!C1769), "  ")</f>
        <v xml:space="preserve">  </v>
      </c>
      <c r="D1767" s="42" t="str">
        <f>IFERROR(AVERAGE(Data!D1769), "  ")</f>
        <v xml:space="preserve">  </v>
      </c>
      <c r="E1767" s="42" t="str">
        <f>IFERROR(AVERAGE(Data!E1769), "  ")</f>
        <v xml:space="preserve">  </v>
      </c>
      <c r="F1767" s="42" t="str">
        <f>IFERROR(AVERAGE(Data!F1769), "  ")</f>
        <v xml:space="preserve">  </v>
      </c>
      <c r="G1767" s="42" t="str">
        <f>IFERROR(AVERAGE(Data!G1769), "  ")</f>
        <v xml:space="preserve">  </v>
      </c>
      <c r="H1767" s="44" t="str">
        <f>IFERROR(AVERAGE(Data!H1769), "  ")</f>
        <v xml:space="preserve">  </v>
      </c>
      <c r="I1767" s="44" t="str">
        <f>IFERROR(AVERAGE(Data!I1769), "  ")</f>
        <v xml:space="preserve">  </v>
      </c>
      <c r="J1767" s="42" t="str">
        <f>IFERROR(AVERAGE(Data!J1769), "  ")</f>
        <v xml:space="preserve">  </v>
      </c>
      <c r="K1767" s="44" t="str">
        <f>IFERROR(AVERAGE(Data!K1769), "  ")</f>
        <v xml:space="preserve">  </v>
      </c>
      <c r="L1767" s="45" t="str">
        <f>IFERROR(AVERAGE(Data!L1769), "  ")</f>
        <v xml:space="preserve">  </v>
      </c>
    </row>
    <row r="1768" spans="1:12" x14ac:dyDescent="0.2">
      <c r="A1768" s="43"/>
      <c r="B1768" s="42" t="str">
        <f>IFERROR(AVERAGE(Data!B1770), "  ")</f>
        <v xml:space="preserve">  </v>
      </c>
      <c r="C1768" s="42" t="str">
        <f>IFERROR(AVERAGE(Data!C1770), "  ")</f>
        <v xml:space="preserve">  </v>
      </c>
      <c r="D1768" s="42" t="str">
        <f>IFERROR(AVERAGE(Data!D1770), "  ")</f>
        <v xml:space="preserve">  </v>
      </c>
      <c r="E1768" s="42" t="str">
        <f>IFERROR(AVERAGE(Data!E1770), "  ")</f>
        <v xml:space="preserve">  </v>
      </c>
      <c r="F1768" s="42" t="str">
        <f>IFERROR(AVERAGE(Data!F1770), "  ")</f>
        <v xml:space="preserve">  </v>
      </c>
      <c r="G1768" s="42" t="str">
        <f>IFERROR(AVERAGE(Data!G1770), "  ")</f>
        <v xml:space="preserve">  </v>
      </c>
      <c r="H1768" s="44" t="str">
        <f>IFERROR(AVERAGE(Data!H1770), "  ")</f>
        <v xml:space="preserve">  </v>
      </c>
      <c r="I1768" s="44" t="str">
        <f>IFERROR(AVERAGE(Data!I1770), "  ")</f>
        <v xml:space="preserve">  </v>
      </c>
      <c r="J1768" s="42" t="str">
        <f>IFERROR(AVERAGE(Data!J1770), "  ")</f>
        <v xml:space="preserve">  </v>
      </c>
      <c r="K1768" s="44" t="str">
        <f>IFERROR(AVERAGE(Data!K1770), "  ")</f>
        <v xml:space="preserve">  </v>
      </c>
      <c r="L1768" s="45" t="str">
        <f>IFERROR(AVERAGE(Data!L1770), "  ")</f>
        <v xml:space="preserve">  </v>
      </c>
    </row>
    <row r="1769" spans="1:12" x14ac:dyDescent="0.2">
      <c r="A1769" s="43"/>
      <c r="B1769" s="42" t="str">
        <f>IFERROR(AVERAGE(Data!B1771), "  ")</f>
        <v xml:space="preserve">  </v>
      </c>
      <c r="C1769" s="42" t="str">
        <f>IFERROR(AVERAGE(Data!C1771), "  ")</f>
        <v xml:space="preserve">  </v>
      </c>
      <c r="D1769" s="42" t="str">
        <f>IFERROR(AVERAGE(Data!D1771), "  ")</f>
        <v xml:space="preserve">  </v>
      </c>
      <c r="E1769" s="42" t="str">
        <f>IFERROR(AVERAGE(Data!E1771), "  ")</f>
        <v xml:space="preserve">  </v>
      </c>
      <c r="F1769" s="42" t="str">
        <f>IFERROR(AVERAGE(Data!F1771), "  ")</f>
        <v xml:space="preserve">  </v>
      </c>
      <c r="G1769" s="42" t="str">
        <f>IFERROR(AVERAGE(Data!G1771), "  ")</f>
        <v xml:space="preserve">  </v>
      </c>
      <c r="H1769" s="44" t="str">
        <f>IFERROR(AVERAGE(Data!H1771), "  ")</f>
        <v xml:space="preserve">  </v>
      </c>
      <c r="I1769" s="44" t="str">
        <f>IFERROR(AVERAGE(Data!I1771), "  ")</f>
        <v xml:space="preserve">  </v>
      </c>
      <c r="J1769" s="42" t="str">
        <f>IFERROR(AVERAGE(Data!J1771), "  ")</f>
        <v xml:space="preserve">  </v>
      </c>
      <c r="K1769" s="44" t="str">
        <f>IFERROR(AVERAGE(Data!K1771), "  ")</f>
        <v xml:space="preserve">  </v>
      </c>
      <c r="L1769" s="45" t="str">
        <f>IFERROR(AVERAGE(Data!L1771), "  ")</f>
        <v xml:space="preserve">  </v>
      </c>
    </row>
    <row r="1770" spans="1:12" x14ac:dyDescent="0.2">
      <c r="A1770" s="43"/>
      <c r="B1770" s="42" t="str">
        <f>IFERROR(AVERAGE(Data!B1772), "  ")</f>
        <v xml:space="preserve">  </v>
      </c>
      <c r="C1770" s="42" t="str">
        <f>IFERROR(AVERAGE(Data!C1772), "  ")</f>
        <v xml:space="preserve">  </v>
      </c>
      <c r="D1770" s="42" t="str">
        <f>IFERROR(AVERAGE(Data!D1772), "  ")</f>
        <v xml:space="preserve">  </v>
      </c>
      <c r="E1770" s="42" t="str">
        <f>IFERROR(AVERAGE(Data!E1772), "  ")</f>
        <v xml:space="preserve">  </v>
      </c>
      <c r="F1770" s="42" t="str">
        <f>IFERROR(AVERAGE(Data!F1772), "  ")</f>
        <v xml:space="preserve">  </v>
      </c>
      <c r="G1770" s="42" t="str">
        <f>IFERROR(AVERAGE(Data!G1772), "  ")</f>
        <v xml:space="preserve">  </v>
      </c>
      <c r="H1770" s="44" t="str">
        <f>IFERROR(AVERAGE(Data!H1772), "  ")</f>
        <v xml:space="preserve">  </v>
      </c>
      <c r="I1770" s="44" t="str">
        <f>IFERROR(AVERAGE(Data!I1772), "  ")</f>
        <v xml:space="preserve">  </v>
      </c>
      <c r="J1770" s="42" t="str">
        <f>IFERROR(AVERAGE(Data!J1772), "  ")</f>
        <v xml:space="preserve">  </v>
      </c>
      <c r="K1770" s="44" t="str">
        <f>IFERROR(AVERAGE(Data!K1772), "  ")</f>
        <v xml:space="preserve">  </v>
      </c>
      <c r="L1770" s="45" t="str">
        <f>IFERROR(AVERAGE(Data!L1772), "  ")</f>
        <v xml:space="preserve">  </v>
      </c>
    </row>
    <row r="1771" spans="1:12" x14ac:dyDescent="0.2">
      <c r="A1771" s="43"/>
      <c r="B1771" s="42" t="str">
        <f>IFERROR(AVERAGE(Data!B1773), "  ")</f>
        <v xml:space="preserve">  </v>
      </c>
      <c r="C1771" s="42" t="str">
        <f>IFERROR(AVERAGE(Data!C1773), "  ")</f>
        <v xml:space="preserve">  </v>
      </c>
      <c r="D1771" s="42" t="str">
        <f>IFERROR(AVERAGE(Data!D1773), "  ")</f>
        <v xml:space="preserve">  </v>
      </c>
      <c r="E1771" s="42" t="str">
        <f>IFERROR(AVERAGE(Data!E1773), "  ")</f>
        <v xml:space="preserve">  </v>
      </c>
      <c r="F1771" s="42" t="str">
        <f>IFERROR(AVERAGE(Data!F1773), "  ")</f>
        <v xml:space="preserve">  </v>
      </c>
      <c r="G1771" s="42" t="str">
        <f>IFERROR(AVERAGE(Data!G1773), "  ")</f>
        <v xml:space="preserve">  </v>
      </c>
      <c r="H1771" s="44" t="str">
        <f>IFERROR(AVERAGE(Data!H1773), "  ")</f>
        <v xml:space="preserve">  </v>
      </c>
      <c r="I1771" s="44" t="str">
        <f>IFERROR(AVERAGE(Data!I1773), "  ")</f>
        <v xml:space="preserve">  </v>
      </c>
      <c r="J1771" s="42" t="str">
        <f>IFERROR(AVERAGE(Data!J1773), "  ")</f>
        <v xml:space="preserve">  </v>
      </c>
      <c r="K1771" s="44" t="str">
        <f>IFERROR(AVERAGE(Data!K1773), "  ")</f>
        <v xml:space="preserve">  </v>
      </c>
      <c r="L1771" s="45" t="str">
        <f>IFERROR(AVERAGE(Data!L1773), "  ")</f>
        <v xml:space="preserve">  </v>
      </c>
    </row>
    <row r="1772" spans="1:12" x14ac:dyDescent="0.2">
      <c r="A1772" s="43"/>
      <c r="B1772" s="42" t="str">
        <f>IFERROR(AVERAGE(Data!B1774), "  ")</f>
        <v xml:space="preserve">  </v>
      </c>
      <c r="C1772" s="42" t="str">
        <f>IFERROR(AVERAGE(Data!C1774), "  ")</f>
        <v xml:space="preserve">  </v>
      </c>
      <c r="D1772" s="42" t="str">
        <f>IFERROR(AVERAGE(Data!D1774), "  ")</f>
        <v xml:space="preserve">  </v>
      </c>
      <c r="E1772" s="42" t="str">
        <f>IFERROR(AVERAGE(Data!E1774), "  ")</f>
        <v xml:space="preserve">  </v>
      </c>
      <c r="F1772" s="42" t="str">
        <f>IFERROR(AVERAGE(Data!F1774), "  ")</f>
        <v xml:space="preserve">  </v>
      </c>
      <c r="G1772" s="42" t="str">
        <f>IFERROR(AVERAGE(Data!G1774), "  ")</f>
        <v xml:space="preserve">  </v>
      </c>
      <c r="H1772" s="44" t="str">
        <f>IFERROR(AVERAGE(Data!H1774), "  ")</f>
        <v xml:space="preserve">  </v>
      </c>
      <c r="I1772" s="44" t="str">
        <f>IFERROR(AVERAGE(Data!I1774), "  ")</f>
        <v xml:space="preserve">  </v>
      </c>
      <c r="J1772" s="42" t="str">
        <f>IFERROR(AVERAGE(Data!J1774), "  ")</f>
        <v xml:space="preserve">  </v>
      </c>
      <c r="K1772" s="44" t="str">
        <f>IFERROR(AVERAGE(Data!K1774), "  ")</f>
        <v xml:space="preserve">  </v>
      </c>
      <c r="L1772" s="45" t="str">
        <f>IFERROR(AVERAGE(Data!L1774), "  ")</f>
        <v xml:space="preserve">  </v>
      </c>
    </row>
    <row r="1773" spans="1:12" x14ac:dyDescent="0.2">
      <c r="A1773" s="43"/>
      <c r="B1773" s="42" t="str">
        <f>IFERROR(AVERAGE(Data!B1775), "  ")</f>
        <v xml:space="preserve">  </v>
      </c>
      <c r="C1773" s="42" t="str">
        <f>IFERROR(AVERAGE(Data!C1775), "  ")</f>
        <v xml:space="preserve">  </v>
      </c>
      <c r="D1773" s="42" t="str">
        <f>IFERROR(AVERAGE(Data!D1775), "  ")</f>
        <v xml:space="preserve">  </v>
      </c>
      <c r="E1773" s="42" t="str">
        <f>IFERROR(AVERAGE(Data!E1775), "  ")</f>
        <v xml:space="preserve">  </v>
      </c>
      <c r="F1773" s="42" t="str">
        <f>IFERROR(AVERAGE(Data!F1775), "  ")</f>
        <v xml:space="preserve">  </v>
      </c>
      <c r="G1773" s="42" t="str">
        <f>IFERROR(AVERAGE(Data!G1775), "  ")</f>
        <v xml:space="preserve">  </v>
      </c>
      <c r="H1773" s="44" t="str">
        <f>IFERROR(AVERAGE(Data!H1775), "  ")</f>
        <v xml:space="preserve">  </v>
      </c>
      <c r="I1773" s="44" t="str">
        <f>IFERROR(AVERAGE(Data!I1775), "  ")</f>
        <v xml:space="preserve">  </v>
      </c>
      <c r="J1773" s="42" t="str">
        <f>IFERROR(AVERAGE(Data!J1775), "  ")</f>
        <v xml:space="preserve">  </v>
      </c>
      <c r="K1773" s="44" t="str">
        <f>IFERROR(AVERAGE(Data!K1775), "  ")</f>
        <v xml:space="preserve">  </v>
      </c>
      <c r="L1773" s="45" t="str">
        <f>IFERROR(AVERAGE(Data!L1775), "  ")</f>
        <v xml:space="preserve">  </v>
      </c>
    </row>
    <row r="1774" spans="1:12" x14ac:dyDescent="0.2">
      <c r="A1774" s="43"/>
      <c r="B1774" s="42" t="str">
        <f>IFERROR(AVERAGE(Data!B1776), "  ")</f>
        <v xml:space="preserve">  </v>
      </c>
      <c r="C1774" s="42" t="str">
        <f>IFERROR(AVERAGE(Data!C1776), "  ")</f>
        <v xml:space="preserve">  </v>
      </c>
      <c r="D1774" s="42" t="str">
        <f>IFERROR(AVERAGE(Data!D1776), "  ")</f>
        <v xml:space="preserve">  </v>
      </c>
      <c r="E1774" s="42" t="str">
        <f>IFERROR(AVERAGE(Data!E1776), "  ")</f>
        <v xml:space="preserve">  </v>
      </c>
      <c r="F1774" s="42" t="str">
        <f>IFERROR(AVERAGE(Data!F1776), "  ")</f>
        <v xml:space="preserve">  </v>
      </c>
      <c r="G1774" s="42" t="str">
        <f>IFERROR(AVERAGE(Data!G1776), "  ")</f>
        <v xml:space="preserve">  </v>
      </c>
      <c r="H1774" s="44" t="str">
        <f>IFERROR(AVERAGE(Data!H1776), "  ")</f>
        <v xml:space="preserve">  </v>
      </c>
      <c r="I1774" s="44" t="str">
        <f>IFERROR(AVERAGE(Data!I1776), "  ")</f>
        <v xml:space="preserve">  </v>
      </c>
      <c r="J1774" s="42" t="str">
        <f>IFERROR(AVERAGE(Data!J1776), "  ")</f>
        <v xml:space="preserve">  </v>
      </c>
      <c r="K1774" s="44" t="str">
        <f>IFERROR(AVERAGE(Data!K1776), "  ")</f>
        <v xml:space="preserve">  </v>
      </c>
      <c r="L1774" s="45" t="str">
        <f>IFERROR(AVERAGE(Data!L1776), "  ")</f>
        <v xml:space="preserve">  </v>
      </c>
    </row>
    <row r="1775" spans="1:12" x14ac:dyDescent="0.2">
      <c r="A1775" s="43"/>
      <c r="B1775" s="42" t="str">
        <f>IFERROR(AVERAGE(Data!B1777), "  ")</f>
        <v xml:space="preserve">  </v>
      </c>
      <c r="C1775" s="42" t="str">
        <f>IFERROR(AVERAGE(Data!C1777), "  ")</f>
        <v xml:space="preserve">  </v>
      </c>
      <c r="D1775" s="42" t="str">
        <f>IFERROR(AVERAGE(Data!D1777), "  ")</f>
        <v xml:space="preserve">  </v>
      </c>
      <c r="E1775" s="42" t="str">
        <f>IFERROR(AVERAGE(Data!E1777), "  ")</f>
        <v xml:space="preserve">  </v>
      </c>
      <c r="F1775" s="42" t="str">
        <f>IFERROR(AVERAGE(Data!F1777), "  ")</f>
        <v xml:space="preserve">  </v>
      </c>
      <c r="G1775" s="42" t="str">
        <f>IFERROR(AVERAGE(Data!G1777), "  ")</f>
        <v xml:space="preserve">  </v>
      </c>
      <c r="H1775" s="44" t="str">
        <f>IFERROR(AVERAGE(Data!H1777), "  ")</f>
        <v xml:space="preserve">  </v>
      </c>
      <c r="I1775" s="44" t="str">
        <f>IFERROR(AVERAGE(Data!I1777), "  ")</f>
        <v xml:space="preserve">  </v>
      </c>
      <c r="J1775" s="42" t="str">
        <f>IFERROR(AVERAGE(Data!J1777), "  ")</f>
        <v xml:space="preserve">  </v>
      </c>
      <c r="K1775" s="44" t="str">
        <f>IFERROR(AVERAGE(Data!K1777), "  ")</f>
        <v xml:space="preserve">  </v>
      </c>
      <c r="L1775" s="45" t="str">
        <f>IFERROR(AVERAGE(Data!L1777), "  ")</f>
        <v xml:space="preserve">  </v>
      </c>
    </row>
    <row r="1776" spans="1:12" x14ac:dyDescent="0.2">
      <c r="A1776" s="43"/>
      <c r="B1776" s="42" t="str">
        <f>IFERROR(AVERAGE(Data!B1778), "  ")</f>
        <v xml:space="preserve">  </v>
      </c>
      <c r="C1776" s="42" t="str">
        <f>IFERROR(AVERAGE(Data!C1778), "  ")</f>
        <v xml:space="preserve">  </v>
      </c>
      <c r="D1776" s="42" t="str">
        <f>IFERROR(AVERAGE(Data!D1778), "  ")</f>
        <v xml:space="preserve">  </v>
      </c>
      <c r="E1776" s="42" t="str">
        <f>IFERROR(AVERAGE(Data!E1778), "  ")</f>
        <v xml:space="preserve">  </v>
      </c>
      <c r="F1776" s="42" t="str">
        <f>IFERROR(AVERAGE(Data!F1778), "  ")</f>
        <v xml:space="preserve">  </v>
      </c>
      <c r="G1776" s="42" t="str">
        <f>IFERROR(AVERAGE(Data!G1778), "  ")</f>
        <v xml:space="preserve">  </v>
      </c>
      <c r="H1776" s="44" t="str">
        <f>IFERROR(AVERAGE(Data!H1778), "  ")</f>
        <v xml:space="preserve">  </v>
      </c>
      <c r="I1776" s="44" t="str">
        <f>IFERROR(AVERAGE(Data!I1778), "  ")</f>
        <v xml:space="preserve">  </v>
      </c>
      <c r="J1776" s="42" t="str">
        <f>IFERROR(AVERAGE(Data!J1778), "  ")</f>
        <v xml:space="preserve">  </v>
      </c>
      <c r="K1776" s="44" t="str">
        <f>IFERROR(AVERAGE(Data!K1778), "  ")</f>
        <v xml:space="preserve">  </v>
      </c>
      <c r="L1776" s="45" t="str">
        <f>IFERROR(AVERAGE(Data!L1778), "  ")</f>
        <v xml:space="preserve">  </v>
      </c>
    </row>
    <row r="1777" spans="1:12" x14ac:dyDescent="0.2">
      <c r="A1777" s="43"/>
      <c r="B1777" s="42" t="str">
        <f>IFERROR(AVERAGE(Data!B1779), "  ")</f>
        <v xml:space="preserve">  </v>
      </c>
      <c r="C1777" s="42" t="str">
        <f>IFERROR(AVERAGE(Data!C1779), "  ")</f>
        <v xml:space="preserve">  </v>
      </c>
      <c r="D1777" s="42" t="str">
        <f>IFERROR(AVERAGE(Data!D1779), "  ")</f>
        <v xml:space="preserve">  </v>
      </c>
      <c r="E1777" s="42" t="str">
        <f>IFERROR(AVERAGE(Data!E1779), "  ")</f>
        <v xml:space="preserve">  </v>
      </c>
      <c r="F1777" s="42" t="str">
        <f>IFERROR(AVERAGE(Data!F1779), "  ")</f>
        <v xml:space="preserve">  </v>
      </c>
      <c r="G1777" s="42" t="str">
        <f>IFERROR(AVERAGE(Data!G1779), "  ")</f>
        <v xml:space="preserve">  </v>
      </c>
      <c r="H1777" s="44" t="str">
        <f>IFERROR(AVERAGE(Data!H1779), "  ")</f>
        <v xml:space="preserve">  </v>
      </c>
      <c r="I1777" s="44" t="str">
        <f>IFERROR(AVERAGE(Data!I1779), "  ")</f>
        <v xml:space="preserve">  </v>
      </c>
      <c r="J1777" s="42" t="str">
        <f>IFERROR(AVERAGE(Data!J1779), "  ")</f>
        <v xml:space="preserve">  </v>
      </c>
      <c r="K1777" s="44" t="str">
        <f>IFERROR(AVERAGE(Data!K1779), "  ")</f>
        <v xml:space="preserve">  </v>
      </c>
      <c r="L1777" s="45" t="str">
        <f>IFERROR(AVERAGE(Data!L1779), "  ")</f>
        <v xml:space="preserve">  </v>
      </c>
    </row>
    <row r="1778" spans="1:12" x14ac:dyDescent="0.2">
      <c r="A1778" s="43"/>
      <c r="B1778" s="42" t="str">
        <f>IFERROR(AVERAGE(Data!B1780), "  ")</f>
        <v xml:space="preserve">  </v>
      </c>
      <c r="C1778" s="42" t="str">
        <f>IFERROR(AVERAGE(Data!C1780), "  ")</f>
        <v xml:space="preserve">  </v>
      </c>
      <c r="D1778" s="42" t="str">
        <f>IFERROR(AVERAGE(Data!D1780), "  ")</f>
        <v xml:space="preserve">  </v>
      </c>
      <c r="E1778" s="42" t="str">
        <f>IFERROR(AVERAGE(Data!E1780), "  ")</f>
        <v xml:space="preserve">  </v>
      </c>
      <c r="F1778" s="42" t="str">
        <f>IFERROR(AVERAGE(Data!F1780), "  ")</f>
        <v xml:space="preserve">  </v>
      </c>
      <c r="G1778" s="42" t="str">
        <f>IFERROR(AVERAGE(Data!G1780), "  ")</f>
        <v xml:space="preserve">  </v>
      </c>
      <c r="H1778" s="44" t="str">
        <f>IFERROR(AVERAGE(Data!H1780), "  ")</f>
        <v xml:space="preserve">  </v>
      </c>
      <c r="I1778" s="44" t="str">
        <f>IFERROR(AVERAGE(Data!I1780), "  ")</f>
        <v xml:space="preserve">  </v>
      </c>
      <c r="J1778" s="42" t="str">
        <f>IFERROR(AVERAGE(Data!J1780), "  ")</f>
        <v xml:space="preserve">  </v>
      </c>
      <c r="K1778" s="44" t="str">
        <f>IFERROR(AVERAGE(Data!K1780), "  ")</f>
        <v xml:space="preserve">  </v>
      </c>
      <c r="L1778" s="45" t="str">
        <f>IFERROR(AVERAGE(Data!L1780), "  ")</f>
        <v xml:space="preserve">  </v>
      </c>
    </row>
    <row r="1779" spans="1:12" x14ac:dyDescent="0.2">
      <c r="A1779" s="43"/>
      <c r="B1779" s="42" t="str">
        <f>IFERROR(AVERAGE(Data!B1781), "  ")</f>
        <v xml:space="preserve">  </v>
      </c>
      <c r="C1779" s="42" t="str">
        <f>IFERROR(AVERAGE(Data!C1781), "  ")</f>
        <v xml:space="preserve">  </v>
      </c>
      <c r="D1779" s="42" t="str">
        <f>IFERROR(AVERAGE(Data!D1781), "  ")</f>
        <v xml:space="preserve">  </v>
      </c>
      <c r="E1779" s="42" t="str">
        <f>IFERROR(AVERAGE(Data!E1781), "  ")</f>
        <v xml:space="preserve">  </v>
      </c>
      <c r="F1779" s="42" t="str">
        <f>IFERROR(AVERAGE(Data!F1781), "  ")</f>
        <v xml:space="preserve">  </v>
      </c>
      <c r="G1779" s="42" t="str">
        <f>IFERROR(AVERAGE(Data!G1781), "  ")</f>
        <v xml:space="preserve">  </v>
      </c>
      <c r="H1779" s="44" t="str">
        <f>IFERROR(AVERAGE(Data!H1781), "  ")</f>
        <v xml:space="preserve">  </v>
      </c>
      <c r="I1779" s="44" t="str">
        <f>IFERROR(AVERAGE(Data!I1781), "  ")</f>
        <v xml:space="preserve">  </v>
      </c>
      <c r="J1779" s="42" t="str">
        <f>IFERROR(AVERAGE(Data!J1781), "  ")</f>
        <v xml:space="preserve">  </v>
      </c>
      <c r="K1779" s="44" t="str">
        <f>IFERROR(AVERAGE(Data!K1781), "  ")</f>
        <v xml:space="preserve">  </v>
      </c>
      <c r="L1779" s="45" t="str">
        <f>IFERROR(AVERAGE(Data!L1781), "  ")</f>
        <v xml:space="preserve">  </v>
      </c>
    </row>
    <row r="1780" spans="1:12" x14ac:dyDescent="0.2">
      <c r="A1780" s="43"/>
      <c r="B1780" s="42" t="str">
        <f>IFERROR(AVERAGE(Data!B1782), "  ")</f>
        <v xml:space="preserve">  </v>
      </c>
      <c r="C1780" s="42" t="str">
        <f>IFERROR(AVERAGE(Data!C1782), "  ")</f>
        <v xml:space="preserve">  </v>
      </c>
      <c r="D1780" s="42" t="str">
        <f>IFERROR(AVERAGE(Data!D1782), "  ")</f>
        <v xml:space="preserve">  </v>
      </c>
      <c r="E1780" s="42" t="str">
        <f>IFERROR(AVERAGE(Data!E1782), "  ")</f>
        <v xml:space="preserve">  </v>
      </c>
      <c r="F1780" s="42" t="str">
        <f>IFERROR(AVERAGE(Data!F1782), "  ")</f>
        <v xml:space="preserve">  </v>
      </c>
      <c r="G1780" s="42" t="str">
        <f>IFERROR(AVERAGE(Data!G1782), "  ")</f>
        <v xml:space="preserve">  </v>
      </c>
      <c r="H1780" s="44" t="str">
        <f>IFERROR(AVERAGE(Data!H1782), "  ")</f>
        <v xml:space="preserve">  </v>
      </c>
      <c r="I1780" s="44" t="str">
        <f>IFERROR(AVERAGE(Data!I1782), "  ")</f>
        <v xml:space="preserve">  </v>
      </c>
      <c r="J1780" s="42" t="str">
        <f>IFERROR(AVERAGE(Data!J1782), "  ")</f>
        <v xml:space="preserve">  </v>
      </c>
      <c r="K1780" s="44" t="str">
        <f>IFERROR(AVERAGE(Data!K1782), "  ")</f>
        <v xml:space="preserve">  </v>
      </c>
      <c r="L1780" s="45" t="str">
        <f>IFERROR(AVERAGE(Data!L1782), "  ")</f>
        <v xml:space="preserve">  </v>
      </c>
    </row>
    <row r="1781" spans="1:12" x14ac:dyDescent="0.2">
      <c r="A1781" s="43"/>
      <c r="B1781" s="42" t="str">
        <f>IFERROR(AVERAGE(Data!B1783), "  ")</f>
        <v xml:space="preserve">  </v>
      </c>
      <c r="C1781" s="42" t="str">
        <f>IFERROR(AVERAGE(Data!C1783), "  ")</f>
        <v xml:space="preserve">  </v>
      </c>
      <c r="D1781" s="42" t="str">
        <f>IFERROR(AVERAGE(Data!D1783), "  ")</f>
        <v xml:space="preserve">  </v>
      </c>
      <c r="E1781" s="42" t="str">
        <f>IFERROR(AVERAGE(Data!E1783), "  ")</f>
        <v xml:space="preserve">  </v>
      </c>
      <c r="F1781" s="42" t="str">
        <f>IFERROR(AVERAGE(Data!F1783), "  ")</f>
        <v xml:space="preserve">  </v>
      </c>
      <c r="G1781" s="42" t="str">
        <f>IFERROR(AVERAGE(Data!G1783), "  ")</f>
        <v xml:space="preserve">  </v>
      </c>
      <c r="H1781" s="44" t="str">
        <f>IFERROR(AVERAGE(Data!H1783), "  ")</f>
        <v xml:space="preserve">  </v>
      </c>
      <c r="I1781" s="44" t="str">
        <f>IFERROR(AVERAGE(Data!I1783), "  ")</f>
        <v xml:space="preserve">  </v>
      </c>
      <c r="J1781" s="42" t="str">
        <f>IFERROR(AVERAGE(Data!J1783), "  ")</f>
        <v xml:space="preserve">  </v>
      </c>
      <c r="K1781" s="44" t="str">
        <f>IFERROR(AVERAGE(Data!K1783), "  ")</f>
        <v xml:space="preserve">  </v>
      </c>
      <c r="L1781" s="45" t="str">
        <f>IFERROR(AVERAGE(Data!L1783), "  ")</f>
        <v xml:space="preserve">  </v>
      </c>
    </row>
    <row r="1782" spans="1:12" x14ac:dyDescent="0.2">
      <c r="A1782" s="43"/>
      <c r="B1782" s="42" t="str">
        <f>IFERROR(AVERAGE(Data!B1784), "  ")</f>
        <v xml:space="preserve">  </v>
      </c>
      <c r="C1782" s="42" t="str">
        <f>IFERROR(AVERAGE(Data!C1784), "  ")</f>
        <v xml:space="preserve">  </v>
      </c>
      <c r="D1782" s="42" t="str">
        <f>IFERROR(AVERAGE(Data!D1784), "  ")</f>
        <v xml:space="preserve">  </v>
      </c>
      <c r="E1782" s="42" t="str">
        <f>IFERROR(AVERAGE(Data!E1784), "  ")</f>
        <v xml:space="preserve">  </v>
      </c>
      <c r="F1782" s="42" t="str">
        <f>IFERROR(AVERAGE(Data!F1784), "  ")</f>
        <v xml:space="preserve">  </v>
      </c>
      <c r="G1782" s="42" t="str">
        <f>IFERROR(AVERAGE(Data!G1784), "  ")</f>
        <v xml:space="preserve">  </v>
      </c>
      <c r="H1782" s="44" t="str">
        <f>IFERROR(AVERAGE(Data!H1784), "  ")</f>
        <v xml:space="preserve">  </v>
      </c>
      <c r="I1782" s="44" t="str">
        <f>IFERROR(AVERAGE(Data!I1784), "  ")</f>
        <v xml:space="preserve">  </v>
      </c>
      <c r="J1782" s="42" t="str">
        <f>IFERROR(AVERAGE(Data!J1784), "  ")</f>
        <v xml:space="preserve">  </v>
      </c>
      <c r="K1782" s="44" t="str">
        <f>IFERROR(AVERAGE(Data!K1784), "  ")</f>
        <v xml:space="preserve">  </v>
      </c>
      <c r="L1782" s="45" t="str">
        <f>IFERROR(AVERAGE(Data!L1784), "  ")</f>
        <v xml:space="preserve">  </v>
      </c>
    </row>
    <row r="1783" spans="1:12" x14ac:dyDescent="0.2">
      <c r="A1783" s="43"/>
      <c r="B1783" s="42" t="str">
        <f>IFERROR(AVERAGE(Data!B1785), "  ")</f>
        <v xml:space="preserve">  </v>
      </c>
      <c r="C1783" s="42" t="str">
        <f>IFERROR(AVERAGE(Data!C1785), "  ")</f>
        <v xml:space="preserve">  </v>
      </c>
      <c r="D1783" s="42" t="str">
        <f>IFERROR(AVERAGE(Data!D1785), "  ")</f>
        <v xml:space="preserve">  </v>
      </c>
      <c r="E1783" s="42" t="str">
        <f>IFERROR(AVERAGE(Data!E1785), "  ")</f>
        <v xml:space="preserve">  </v>
      </c>
      <c r="F1783" s="42" t="str">
        <f>IFERROR(AVERAGE(Data!F1785), "  ")</f>
        <v xml:space="preserve">  </v>
      </c>
      <c r="G1783" s="42" t="str">
        <f>IFERROR(AVERAGE(Data!G1785), "  ")</f>
        <v xml:space="preserve">  </v>
      </c>
      <c r="H1783" s="44" t="str">
        <f>IFERROR(AVERAGE(Data!H1785), "  ")</f>
        <v xml:space="preserve">  </v>
      </c>
      <c r="I1783" s="44" t="str">
        <f>IFERROR(AVERAGE(Data!I1785), "  ")</f>
        <v xml:space="preserve">  </v>
      </c>
      <c r="J1783" s="42" t="str">
        <f>IFERROR(AVERAGE(Data!J1785), "  ")</f>
        <v xml:space="preserve">  </v>
      </c>
      <c r="K1783" s="44" t="str">
        <f>IFERROR(AVERAGE(Data!K1785), "  ")</f>
        <v xml:space="preserve">  </v>
      </c>
      <c r="L1783" s="45" t="str">
        <f>IFERROR(AVERAGE(Data!L1785), "  ")</f>
        <v xml:space="preserve">  </v>
      </c>
    </row>
    <row r="1784" spans="1:12" x14ac:dyDescent="0.2">
      <c r="A1784" s="43"/>
      <c r="B1784" s="42" t="str">
        <f>IFERROR(AVERAGE(Data!B1786), "  ")</f>
        <v xml:space="preserve">  </v>
      </c>
      <c r="C1784" s="42" t="str">
        <f>IFERROR(AVERAGE(Data!C1786), "  ")</f>
        <v xml:space="preserve">  </v>
      </c>
      <c r="D1784" s="42" t="str">
        <f>IFERROR(AVERAGE(Data!D1786), "  ")</f>
        <v xml:space="preserve">  </v>
      </c>
      <c r="E1784" s="42" t="str">
        <f>IFERROR(AVERAGE(Data!E1786), "  ")</f>
        <v xml:space="preserve">  </v>
      </c>
      <c r="F1784" s="42" t="str">
        <f>IFERROR(AVERAGE(Data!F1786), "  ")</f>
        <v xml:space="preserve">  </v>
      </c>
      <c r="G1784" s="42" t="str">
        <f>IFERROR(AVERAGE(Data!G1786), "  ")</f>
        <v xml:space="preserve">  </v>
      </c>
      <c r="H1784" s="44" t="str">
        <f>IFERROR(AVERAGE(Data!H1786), "  ")</f>
        <v xml:space="preserve">  </v>
      </c>
      <c r="I1784" s="44" t="str">
        <f>IFERROR(AVERAGE(Data!I1786), "  ")</f>
        <v xml:space="preserve">  </v>
      </c>
      <c r="J1784" s="42" t="str">
        <f>IFERROR(AVERAGE(Data!J1786), "  ")</f>
        <v xml:space="preserve">  </v>
      </c>
      <c r="K1784" s="44" t="str">
        <f>IFERROR(AVERAGE(Data!K1786), "  ")</f>
        <v xml:space="preserve">  </v>
      </c>
      <c r="L1784" s="45" t="str">
        <f>IFERROR(AVERAGE(Data!L1786), "  ")</f>
        <v xml:space="preserve">  </v>
      </c>
    </row>
    <row r="1785" spans="1:12" x14ac:dyDescent="0.2">
      <c r="A1785" s="43"/>
      <c r="B1785" s="42" t="str">
        <f>IFERROR(AVERAGE(Data!B1787), "  ")</f>
        <v xml:space="preserve">  </v>
      </c>
      <c r="C1785" s="42" t="str">
        <f>IFERROR(AVERAGE(Data!C1787), "  ")</f>
        <v xml:space="preserve">  </v>
      </c>
      <c r="D1785" s="42" t="str">
        <f>IFERROR(AVERAGE(Data!D1787), "  ")</f>
        <v xml:space="preserve">  </v>
      </c>
      <c r="E1785" s="42" t="str">
        <f>IFERROR(AVERAGE(Data!E1787), "  ")</f>
        <v xml:space="preserve">  </v>
      </c>
      <c r="F1785" s="42" t="str">
        <f>IFERROR(AVERAGE(Data!F1787), "  ")</f>
        <v xml:space="preserve">  </v>
      </c>
      <c r="G1785" s="42" t="str">
        <f>IFERROR(AVERAGE(Data!G1787), "  ")</f>
        <v xml:space="preserve">  </v>
      </c>
      <c r="H1785" s="44" t="str">
        <f>IFERROR(AVERAGE(Data!H1787), "  ")</f>
        <v xml:space="preserve">  </v>
      </c>
      <c r="I1785" s="44" t="str">
        <f>IFERROR(AVERAGE(Data!I1787), "  ")</f>
        <v xml:space="preserve">  </v>
      </c>
      <c r="J1785" s="42" t="str">
        <f>IFERROR(AVERAGE(Data!J1787), "  ")</f>
        <v xml:space="preserve">  </v>
      </c>
      <c r="K1785" s="44" t="str">
        <f>IFERROR(AVERAGE(Data!K1787), "  ")</f>
        <v xml:space="preserve">  </v>
      </c>
      <c r="L1785" s="45" t="str">
        <f>IFERROR(AVERAGE(Data!L1787), "  ")</f>
        <v xml:space="preserve">  </v>
      </c>
    </row>
    <row r="1786" spans="1:12" x14ac:dyDescent="0.2">
      <c r="A1786" s="43"/>
      <c r="B1786" s="42" t="str">
        <f>IFERROR(AVERAGE(Data!B1788), "  ")</f>
        <v xml:space="preserve">  </v>
      </c>
      <c r="C1786" s="42" t="str">
        <f>IFERROR(AVERAGE(Data!C1788), "  ")</f>
        <v xml:space="preserve">  </v>
      </c>
      <c r="D1786" s="42" t="str">
        <f>IFERROR(AVERAGE(Data!D1788), "  ")</f>
        <v xml:space="preserve">  </v>
      </c>
      <c r="E1786" s="42" t="str">
        <f>IFERROR(AVERAGE(Data!E1788), "  ")</f>
        <v xml:space="preserve">  </v>
      </c>
      <c r="F1786" s="42" t="str">
        <f>IFERROR(AVERAGE(Data!F1788), "  ")</f>
        <v xml:space="preserve">  </v>
      </c>
      <c r="G1786" s="42" t="str">
        <f>IFERROR(AVERAGE(Data!G1788), "  ")</f>
        <v xml:space="preserve">  </v>
      </c>
      <c r="H1786" s="44" t="str">
        <f>IFERROR(AVERAGE(Data!H1788), "  ")</f>
        <v xml:space="preserve">  </v>
      </c>
      <c r="I1786" s="44" t="str">
        <f>IFERROR(AVERAGE(Data!I1788), "  ")</f>
        <v xml:space="preserve">  </v>
      </c>
      <c r="J1786" s="42" t="str">
        <f>IFERROR(AVERAGE(Data!J1788), "  ")</f>
        <v xml:space="preserve">  </v>
      </c>
      <c r="K1786" s="44" t="str">
        <f>IFERROR(AVERAGE(Data!K1788), "  ")</f>
        <v xml:space="preserve">  </v>
      </c>
      <c r="L1786" s="45" t="str">
        <f>IFERROR(AVERAGE(Data!L1788), "  ")</f>
        <v xml:space="preserve">  </v>
      </c>
    </row>
    <row r="1787" spans="1:12" x14ac:dyDescent="0.2">
      <c r="A1787" s="43"/>
      <c r="B1787" s="42" t="str">
        <f>IFERROR(AVERAGE(Data!B1789), "  ")</f>
        <v xml:space="preserve">  </v>
      </c>
      <c r="C1787" s="42" t="str">
        <f>IFERROR(AVERAGE(Data!C1789), "  ")</f>
        <v xml:space="preserve">  </v>
      </c>
      <c r="D1787" s="42" t="str">
        <f>IFERROR(AVERAGE(Data!D1789), "  ")</f>
        <v xml:space="preserve">  </v>
      </c>
      <c r="E1787" s="42" t="str">
        <f>IFERROR(AVERAGE(Data!E1789), "  ")</f>
        <v xml:space="preserve">  </v>
      </c>
      <c r="F1787" s="42" t="str">
        <f>IFERROR(AVERAGE(Data!F1789), "  ")</f>
        <v xml:space="preserve">  </v>
      </c>
      <c r="G1787" s="42" t="str">
        <f>IFERROR(AVERAGE(Data!G1789), "  ")</f>
        <v xml:space="preserve">  </v>
      </c>
      <c r="H1787" s="44" t="str">
        <f>IFERROR(AVERAGE(Data!H1789), "  ")</f>
        <v xml:space="preserve">  </v>
      </c>
      <c r="I1787" s="44" t="str">
        <f>IFERROR(AVERAGE(Data!I1789), "  ")</f>
        <v xml:space="preserve">  </v>
      </c>
      <c r="J1787" s="42" t="str">
        <f>IFERROR(AVERAGE(Data!J1789), "  ")</f>
        <v xml:space="preserve">  </v>
      </c>
      <c r="K1787" s="44" t="str">
        <f>IFERROR(AVERAGE(Data!K1789), "  ")</f>
        <v xml:space="preserve">  </v>
      </c>
      <c r="L1787" s="45" t="str">
        <f>IFERROR(AVERAGE(Data!L1789), "  ")</f>
        <v xml:space="preserve">  </v>
      </c>
    </row>
    <row r="1788" spans="1:12" x14ac:dyDescent="0.2">
      <c r="A1788" s="43"/>
      <c r="B1788" s="42" t="str">
        <f>IFERROR(AVERAGE(Data!B1790), "  ")</f>
        <v xml:space="preserve">  </v>
      </c>
      <c r="C1788" s="42" t="str">
        <f>IFERROR(AVERAGE(Data!C1790), "  ")</f>
        <v xml:space="preserve">  </v>
      </c>
      <c r="D1788" s="42" t="str">
        <f>IFERROR(AVERAGE(Data!D1790), "  ")</f>
        <v xml:space="preserve">  </v>
      </c>
      <c r="E1788" s="42" t="str">
        <f>IFERROR(AVERAGE(Data!E1790), "  ")</f>
        <v xml:space="preserve">  </v>
      </c>
      <c r="F1788" s="42" t="str">
        <f>IFERROR(AVERAGE(Data!F1790), "  ")</f>
        <v xml:space="preserve">  </v>
      </c>
      <c r="G1788" s="42" t="str">
        <f>IFERROR(AVERAGE(Data!G1790), "  ")</f>
        <v xml:space="preserve">  </v>
      </c>
      <c r="H1788" s="44" t="str">
        <f>IFERROR(AVERAGE(Data!H1790), "  ")</f>
        <v xml:space="preserve">  </v>
      </c>
      <c r="I1788" s="44" t="str">
        <f>IFERROR(AVERAGE(Data!I1790), "  ")</f>
        <v xml:space="preserve">  </v>
      </c>
      <c r="J1788" s="42" t="str">
        <f>IFERROR(AVERAGE(Data!J1790), "  ")</f>
        <v xml:space="preserve">  </v>
      </c>
      <c r="K1788" s="44" t="str">
        <f>IFERROR(AVERAGE(Data!K1790), "  ")</f>
        <v xml:space="preserve">  </v>
      </c>
      <c r="L1788" s="45" t="str">
        <f>IFERROR(AVERAGE(Data!L1790), "  ")</f>
        <v xml:space="preserve">  </v>
      </c>
    </row>
    <row r="1789" spans="1:12" x14ac:dyDescent="0.2">
      <c r="A1789" s="43"/>
      <c r="B1789" s="42" t="str">
        <f>IFERROR(AVERAGE(Data!B1791), "  ")</f>
        <v xml:space="preserve">  </v>
      </c>
      <c r="C1789" s="42" t="str">
        <f>IFERROR(AVERAGE(Data!C1791), "  ")</f>
        <v xml:space="preserve">  </v>
      </c>
      <c r="D1789" s="42" t="str">
        <f>IFERROR(AVERAGE(Data!D1791), "  ")</f>
        <v xml:space="preserve">  </v>
      </c>
      <c r="E1789" s="42" t="str">
        <f>IFERROR(AVERAGE(Data!E1791), "  ")</f>
        <v xml:space="preserve">  </v>
      </c>
      <c r="F1789" s="42" t="str">
        <f>IFERROR(AVERAGE(Data!F1791), "  ")</f>
        <v xml:space="preserve">  </v>
      </c>
      <c r="G1789" s="42" t="str">
        <f>IFERROR(AVERAGE(Data!G1791), "  ")</f>
        <v xml:space="preserve">  </v>
      </c>
      <c r="H1789" s="44" t="str">
        <f>IFERROR(AVERAGE(Data!H1791), "  ")</f>
        <v xml:space="preserve">  </v>
      </c>
      <c r="I1789" s="44" t="str">
        <f>IFERROR(AVERAGE(Data!I1791), "  ")</f>
        <v xml:space="preserve">  </v>
      </c>
      <c r="J1789" s="42" t="str">
        <f>IFERROR(AVERAGE(Data!J1791), "  ")</f>
        <v xml:space="preserve">  </v>
      </c>
      <c r="K1789" s="44" t="str">
        <f>IFERROR(AVERAGE(Data!K1791), "  ")</f>
        <v xml:space="preserve">  </v>
      </c>
      <c r="L1789" s="45" t="str">
        <f>IFERROR(AVERAGE(Data!L1791), "  ")</f>
        <v xml:space="preserve">  </v>
      </c>
    </row>
    <row r="1790" spans="1:12" x14ac:dyDescent="0.2">
      <c r="A1790" s="43"/>
      <c r="B1790" s="42" t="str">
        <f>IFERROR(AVERAGE(Data!B1792), "  ")</f>
        <v xml:space="preserve">  </v>
      </c>
      <c r="C1790" s="42" t="str">
        <f>IFERROR(AVERAGE(Data!C1792), "  ")</f>
        <v xml:space="preserve">  </v>
      </c>
      <c r="D1790" s="42" t="str">
        <f>IFERROR(AVERAGE(Data!D1792), "  ")</f>
        <v xml:space="preserve">  </v>
      </c>
      <c r="E1790" s="42" t="str">
        <f>IFERROR(AVERAGE(Data!E1792), "  ")</f>
        <v xml:space="preserve">  </v>
      </c>
      <c r="F1790" s="42" t="str">
        <f>IFERROR(AVERAGE(Data!F1792), "  ")</f>
        <v xml:space="preserve">  </v>
      </c>
      <c r="G1790" s="42" t="str">
        <f>IFERROR(AVERAGE(Data!G1792), "  ")</f>
        <v xml:space="preserve">  </v>
      </c>
      <c r="H1790" s="44" t="str">
        <f>IFERROR(AVERAGE(Data!H1792), "  ")</f>
        <v xml:space="preserve">  </v>
      </c>
      <c r="I1790" s="44" t="str">
        <f>IFERROR(AVERAGE(Data!I1792), "  ")</f>
        <v xml:space="preserve">  </v>
      </c>
      <c r="J1790" s="42" t="str">
        <f>IFERROR(AVERAGE(Data!J1792), "  ")</f>
        <v xml:space="preserve">  </v>
      </c>
      <c r="K1790" s="44" t="str">
        <f>IFERROR(AVERAGE(Data!K1792), "  ")</f>
        <v xml:space="preserve">  </v>
      </c>
      <c r="L1790" s="45" t="str">
        <f>IFERROR(AVERAGE(Data!L1792), "  ")</f>
        <v xml:space="preserve">  </v>
      </c>
    </row>
    <row r="1791" spans="1:12" x14ac:dyDescent="0.2">
      <c r="A1791" s="43"/>
      <c r="B1791" s="42" t="str">
        <f>IFERROR(AVERAGE(Data!B1793), "  ")</f>
        <v xml:space="preserve">  </v>
      </c>
      <c r="C1791" s="42" t="str">
        <f>IFERROR(AVERAGE(Data!C1793), "  ")</f>
        <v xml:space="preserve">  </v>
      </c>
      <c r="D1791" s="42" t="str">
        <f>IFERROR(AVERAGE(Data!D1793), "  ")</f>
        <v xml:space="preserve">  </v>
      </c>
      <c r="E1791" s="42" t="str">
        <f>IFERROR(AVERAGE(Data!E1793), "  ")</f>
        <v xml:space="preserve">  </v>
      </c>
      <c r="F1791" s="42" t="str">
        <f>IFERROR(AVERAGE(Data!F1793), "  ")</f>
        <v xml:space="preserve">  </v>
      </c>
      <c r="G1791" s="42" t="str">
        <f>IFERROR(AVERAGE(Data!G1793), "  ")</f>
        <v xml:space="preserve">  </v>
      </c>
      <c r="H1791" s="44" t="str">
        <f>IFERROR(AVERAGE(Data!H1793), "  ")</f>
        <v xml:space="preserve">  </v>
      </c>
      <c r="I1791" s="44" t="str">
        <f>IFERROR(AVERAGE(Data!I1793), "  ")</f>
        <v xml:space="preserve">  </v>
      </c>
      <c r="J1791" s="42" t="str">
        <f>IFERROR(AVERAGE(Data!J1793), "  ")</f>
        <v xml:space="preserve">  </v>
      </c>
      <c r="K1791" s="44" t="str">
        <f>IFERROR(AVERAGE(Data!K1793), "  ")</f>
        <v xml:space="preserve">  </v>
      </c>
      <c r="L1791" s="45" t="str">
        <f>IFERROR(AVERAGE(Data!L1793), "  ")</f>
        <v xml:space="preserve">  </v>
      </c>
    </row>
    <row r="1792" spans="1:12" x14ac:dyDescent="0.2">
      <c r="A1792" s="43"/>
      <c r="B1792" s="42" t="str">
        <f>IFERROR(AVERAGE(Data!B1794), "  ")</f>
        <v xml:space="preserve">  </v>
      </c>
      <c r="C1792" s="42" t="str">
        <f>IFERROR(AVERAGE(Data!C1794), "  ")</f>
        <v xml:space="preserve">  </v>
      </c>
      <c r="D1792" s="42" t="str">
        <f>IFERROR(AVERAGE(Data!D1794), "  ")</f>
        <v xml:space="preserve">  </v>
      </c>
      <c r="E1792" s="42" t="str">
        <f>IFERROR(AVERAGE(Data!E1794), "  ")</f>
        <v xml:space="preserve">  </v>
      </c>
      <c r="F1792" s="42" t="str">
        <f>IFERROR(AVERAGE(Data!F1794), "  ")</f>
        <v xml:space="preserve">  </v>
      </c>
      <c r="G1792" s="42" t="str">
        <f>IFERROR(AVERAGE(Data!G1794), "  ")</f>
        <v xml:space="preserve">  </v>
      </c>
      <c r="H1792" s="44" t="str">
        <f>IFERROR(AVERAGE(Data!H1794), "  ")</f>
        <v xml:space="preserve">  </v>
      </c>
      <c r="I1792" s="44" t="str">
        <f>IFERROR(AVERAGE(Data!I1794), "  ")</f>
        <v xml:space="preserve">  </v>
      </c>
      <c r="J1792" s="42" t="str">
        <f>IFERROR(AVERAGE(Data!J1794), "  ")</f>
        <v xml:space="preserve">  </v>
      </c>
      <c r="K1792" s="44" t="str">
        <f>IFERROR(AVERAGE(Data!K1794), "  ")</f>
        <v xml:space="preserve">  </v>
      </c>
      <c r="L1792" s="45" t="str">
        <f>IFERROR(AVERAGE(Data!L1794), "  ")</f>
        <v xml:space="preserve">  </v>
      </c>
    </row>
    <row r="1793" spans="1:12" x14ac:dyDescent="0.2">
      <c r="A1793" s="43"/>
      <c r="B1793" s="42" t="str">
        <f>IFERROR(AVERAGE(Data!B1795), "  ")</f>
        <v xml:space="preserve">  </v>
      </c>
      <c r="C1793" s="42" t="str">
        <f>IFERROR(AVERAGE(Data!C1795), "  ")</f>
        <v xml:space="preserve">  </v>
      </c>
      <c r="D1793" s="42" t="str">
        <f>IFERROR(AVERAGE(Data!D1795), "  ")</f>
        <v xml:space="preserve">  </v>
      </c>
      <c r="E1793" s="42" t="str">
        <f>IFERROR(AVERAGE(Data!E1795), "  ")</f>
        <v xml:space="preserve">  </v>
      </c>
      <c r="F1793" s="42" t="str">
        <f>IFERROR(AVERAGE(Data!F1795), "  ")</f>
        <v xml:space="preserve">  </v>
      </c>
      <c r="G1793" s="42" t="str">
        <f>IFERROR(AVERAGE(Data!G1795), "  ")</f>
        <v xml:space="preserve">  </v>
      </c>
      <c r="H1793" s="44" t="str">
        <f>IFERROR(AVERAGE(Data!H1795), "  ")</f>
        <v xml:space="preserve">  </v>
      </c>
      <c r="I1793" s="44" t="str">
        <f>IFERROR(AVERAGE(Data!I1795), "  ")</f>
        <v xml:space="preserve">  </v>
      </c>
      <c r="J1793" s="42" t="str">
        <f>IFERROR(AVERAGE(Data!J1795), "  ")</f>
        <v xml:space="preserve">  </v>
      </c>
      <c r="K1793" s="44" t="str">
        <f>IFERROR(AVERAGE(Data!K1795), "  ")</f>
        <v xml:space="preserve">  </v>
      </c>
      <c r="L1793" s="45" t="str">
        <f>IFERROR(AVERAGE(Data!L1795), "  ")</f>
        <v xml:space="preserve">  </v>
      </c>
    </row>
    <row r="1794" spans="1:12" x14ac:dyDescent="0.2">
      <c r="A1794" s="43"/>
      <c r="B1794" s="42" t="str">
        <f>IFERROR(AVERAGE(Data!B1796), "  ")</f>
        <v xml:space="preserve">  </v>
      </c>
      <c r="C1794" s="42" t="str">
        <f>IFERROR(AVERAGE(Data!C1796), "  ")</f>
        <v xml:space="preserve">  </v>
      </c>
      <c r="D1794" s="42" t="str">
        <f>IFERROR(AVERAGE(Data!D1796), "  ")</f>
        <v xml:space="preserve">  </v>
      </c>
      <c r="E1794" s="42" t="str">
        <f>IFERROR(AVERAGE(Data!E1796), "  ")</f>
        <v xml:space="preserve">  </v>
      </c>
      <c r="F1794" s="42" t="str">
        <f>IFERROR(AVERAGE(Data!F1796), "  ")</f>
        <v xml:space="preserve">  </v>
      </c>
      <c r="G1794" s="42" t="str">
        <f>IFERROR(AVERAGE(Data!G1796), "  ")</f>
        <v xml:space="preserve">  </v>
      </c>
      <c r="H1794" s="44" t="str">
        <f>IFERROR(AVERAGE(Data!H1796), "  ")</f>
        <v xml:space="preserve">  </v>
      </c>
      <c r="I1794" s="44" t="str">
        <f>IFERROR(AVERAGE(Data!I1796), "  ")</f>
        <v xml:space="preserve">  </v>
      </c>
      <c r="J1794" s="42" t="str">
        <f>IFERROR(AVERAGE(Data!J1796), "  ")</f>
        <v xml:space="preserve">  </v>
      </c>
      <c r="K1794" s="44" t="str">
        <f>IFERROR(AVERAGE(Data!K1796), "  ")</f>
        <v xml:space="preserve">  </v>
      </c>
      <c r="L1794" s="45" t="str">
        <f>IFERROR(AVERAGE(Data!L1796), "  ")</f>
        <v xml:space="preserve">  </v>
      </c>
    </row>
    <row r="1795" spans="1:12" x14ac:dyDescent="0.2">
      <c r="A1795" s="43"/>
      <c r="B1795" s="42" t="str">
        <f>IFERROR(AVERAGE(Data!B1797), "  ")</f>
        <v xml:space="preserve">  </v>
      </c>
      <c r="C1795" s="42" t="str">
        <f>IFERROR(AVERAGE(Data!C1797), "  ")</f>
        <v xml:space="preserve">  </v>
      </c>
      <c r="D1795" s="42" t="str">
        <f>IFERROR(AVERAGE(Data!D1797), "  ")</f>
        <v xml:space="preserve">  </v>
      </c>
      <c r="E1795" s="42" t="str">
        <f>IFERROR(AVERAGE(Data!E1797), "  ")</f>
        <v xml:space="preserve">  </v>
      </c>
      <c r="F1795" s="42" t="str">
        <f>IFERROR(AVERAGE(Data!F1797), "  ")</f>
        <v xml:space="preserve">  </v>
      </c>
      <c r="G1795" s="42" t="str">
        <f>IFERROR(AVERAGE(Data!G1797), "  ")</f>
        <v xml:space="preserve">  </v>
      </c>
      <c r="H1795" s="44" t="str">
        <f>IFERROR(AVERAGE(Data!H1797), "  ")</f>
        <v xml:space="preserve">  </v>
      </c>
      <c r="I1795" s="44" t="str">
        <f>IFERROR(AVERAGE(Data!I1797), "  ")</f>
        <v xml:space="preserve">  </v>
      </c>
      <c r="J1795" s="42" t="str">
        <f>IFERROR(AVERAGE(Data!J1797), "  ")</f>
        <v xml:space="preserve">  </v>
      </c>
      <c r="K1795" s="44" t="str">
        <f>IFERROR(AVERAGE(Data!K1797), "  ")</f>
        <v xml:space="preserve">  </v>
      </c>
      <c r="L1795" s="45" t="str">
        <f>IFERROR(AVERAGE(Data!L1797), "  ")</f>
        <v xml:space="preserve">  </v>
      </c>
    </row>
    <row r="1796" spans="1:12" x14ac:dyDescent="0.2">
      <c r="A1796" s="43"/>
      <c r="B1796" s="42" t="str">
        <f>IFERROR(AVERAGE(Data!B1798), "  ")</f>
        <v xml:space="preserve">  </v>
      </c>
      <c r="C1796" s="42" t="str">
        <f>IFERROR(AVERAGE(Data!C1798), "  ")</f>
        <v xml:space="preserve">  </v>
      </c>
      <c r="D1796" s="42" t="str">
        <f>IFERROR(AVERAGE(Data!D1798), "  ")</f>
        <v xml:space="preserve">  </v>
      </c>
      <c r="E1796" s="42" t="str">
        <f>IFERROR(AVERAGE(Data!E1798), "  ")</f>
        <v xml:space="preserve">  </v>
      </c>
      <c r="F1796" s="42" t="str">
        <f>IFERROR(AVERAGE(Data!F1798), "  ")</f>
        <v xml:space="preserve">  </v>
      </c>
      <c r="G1796" s="42" t="str">
        <f>IFERROR(AVERAGE(Data!G1798), "  ")</f>
        <v xml:space="preserve">  </v>
      </c>
      <c r="H1796" s="44" t="str">
        <f>IFERROR(AVERAGE(Data!H1798), "  ")</f>
        <v xml:space="preserve">  </v>
      </c>
      <c r="I1796" s="44" t="str">
        <f>IFERROR(AVERAGE(Data!I1798), "  ")</f>
        <v xml:space="preserve">  </v>
      </c>
      <c r="J1796" s="42" t="str">
        <f>IFERROR(AVERAGE(Data!J1798), "  ")</f>
        <v xml:space="preserve">  </v>
      </c>
      <c r="K1796" s="44" t="str">
        <f>IFERROR(AVERAGE(Data!K1798), "  ")</f>
        <v xml:space="preserve">  </v>
      </c>
      <c r="L1796" s="45" t="str">
        <f>IFERROR(AVERAGE(Data!L1798), "  ")</f>
        <v xml:space="preserve">  </v>
      </c>
    </row>
    <row r="1797" spans="1:12" x14ac:dyDescent="0.2">
      <c r="A1797" s="43"/>
      <c r="B1797" s="42" t="str">
        <f>IFERROR(AVERAGE(Data!B1799), "  ")</f>
        <v xml:space="preserve">  </v>
      </c>
      <c r="C1797" s="42" t="str">
        <f>IFERROR(AVERAGE(Data!C1799), "  ")</f>
        <v xml:space="preserve">  </v>
      </c>
      <c r="D1797" s="42" t="str">
        <f>IFERROR(AVERAGE(Data!D1799), "  ")</f>
        <v xml:space="preserve">  </v>
      </c>
      <c r="E1797" s="42" t="str">
        <f>IFERROR(AVERAGE(Data!E1799), "  ")</f>
        <v xml:space="preserve">  </v>
      </c>
      <c r="F1797" s="42" t="str">
        <f>IFERROR(AVERAGE(Data!F1799), "  ")</f>
        <v xml:space="preserve">  </v>
      </c>
      <c r="G1797" s="42" t="str">
        <f>IFERROR(AVERAGE(Data!G1799), "  ")</f>
        <v xml:space="preserve">  </v>
      </c>
      <c r="H1797" s="44" t="str">
        <f>IFERROR(AVERAGE(Data!H1799), "  ")</f>
        <v xml:space="preserve">  </v>
      </c>
      <c r="I1797" s="44" t="str">
        <f>IFERROR(AVERAGE(Data!I1799), "  ")</f>
        <v xml:space="preserve">  </v>
      </c>
      <c r="J1797" s="42" t="str">
        <f>IFERROR(AVERAGE(Data!J1799), "  ")</f>
        <v xml:space="preserve">  </v>
      </c>
      <c r="K1797" s="44" t="str">
        <f>IFERROR(AVERAGE(Data!K1799), "  ")</f>
        <v xml:space="preserve">  </v>
      </c>
      <c r="L1797" s="45" t="str">
        <f>IFERROR(AVERAGE(Data!L1799), "  ")</f>
        <v xml:space="preserve">  </v>
      </c>
    </row>
    <row r="1798" spans="1:12" x14ac:dyDescent="0.2">
      <c r="A1798" s="43"/>
      <c r="B1798" s="42" t="str">
        <f>IFERROR(AVERAGE(Data!B1800), "  ")</f>
        <v xml:space="preserve">  </v>
      </c>
      <c r="C1798" s="42" t="str">
        <f>IFERROR(AVERAGE(Data!C1800), "  ")</f>
        <v xml:space="preserve">  </v>
      </c>
      <c r="D1798" s="42" t="str">
        <f>IFERROR(AVERAGE(Data!D1800), "  ")</f>
        <v xml:space="preserve">  </v>
      </c>
      <c r="E1798" s="42" t="str">
        <f>IFERROR(AVERAGE(Data!E1800), "  ")</f>
        <v xml:space="preserve">  </v>
      </c>
      <c r="F1798" s="42" t="str">
        <f>IFERROR(AVERAGE(Data!F1800), "  ")</f>
        <v xml:space="preserve">  </v>
      </c>
      <c r="G1798" s="42" t="str">
        <f>IFERROR(AVERAGE(Data!G1800), "  ")</f>
        <v xml:space="preserve">  </v>
      </c>
      <c r="H1798" s="44" t="str">
        <f>IFERROR(AVERAGE(Data!H1800), "  ")</f>
        <v xml:space="preserve">  </v>
      </c>
      <c r="I1798" s="44" t="str">
        <f>IFERROR(AVERAGE(Data!I1800), "  ")</f>
        <v xml:space="preserve">  </v>
      </c>
      <c r="J1798" s="42" t="str">
        <f>IFERROR(AVERAGE(Data!J1800), "  ")</f>
        <v xml:space="preserve">  </v>
      </c>
      <c r="K1798" s="44" t="str">
        <f>IFERROR(AVERAGE(Data!K1800), "  ")</f>
        <v xml:space="preserve">  </v>
      </c>
      <c r="L1798" s="45" t="str">
        <f>IFERROR(AVERAGE(Data!L1800), "  ")</f>
        <v xml:space="preserve">  </v>
      </c>
    </row>
    <row r="1799" spans="1:12" x14ac:dyDescent="0.2">
      <c r="A1799" s="43"/>
      <c r="B1799" s="42" t="str">
        <f>IFERROR(AVERAGE(Data!B1801), "  ")</f>
        <v xml:space="preserve">  </v>
      </c>
      <c r="C1799" s="42" t="str">
        <f>IFERROR(AVERAGE(Data!C1801), "  ")</f>
        <v xml:space="preserve">  </v>
      </c>
      <c r="D1799" s="42" t="str">
        <f>IFERROR(AVERAGE(Data!D1801), "  ")</f>
        <v xml:space="preserve">  </v>
      </c>
      <c r="E1799" s="42" t="str">
        <f>IFERROR(AVERAGE(Data!E1801), "  ")</f>
        <v xml:space="preserve">  </v>
      </c>
      <c r="F1799" s="42" t="str">
        <f>IFERROR(AVERAGE(Data!F1801), "  ")</f>
        <v xml:space="preserve">  </v>
      </c>
      <c r="G1799" s="42" t="str">
        <f>IFERROR(AVERAGE(Data!G1801), "  ")</f>
        <v xml:space="preserve">  </v>
      </c>
      <c r="H1799" s="44" t="str">
        <f>IFERROR(AVERAGE(Data!H1801), "  ")</f>
        <v xml:space="preserve">  </v>
      </c>
      <c r="I1799" s="44" t="str">
        <f>IFERROR(AVERAGE(Data!I1801), "  ")</f>
        <v xml:space="preserve">  </v>
      </c>
      <c r="J1799" s="42" t="str">
        <f>IFERROR(AVERAGE(Data!J1801), "  ")</f>
        <v xml:space="preserve">  </v>
      </c>
      <c r="K1799" s="44" t="str">
        <f>IFERROR(AVERAGE(Data!K1801), "  ")</f>
        <v xml:space="preserve">  </v>
      </c>
      <c r="L1799" s="45" t="str">
        <f>IFERROR(AVERAGE(Data!L1801), "  ")</f>
        <v xml:space="preserve">  </v>
      </c>
    </row>
    <row r="1800" spans="1:12" x14ac:dyDescent="0.2">
      <c r="A1800" s="43"/>
      <c r="B1800" s="42" t="str">
        <f>IFERROR(AVERAGE(Data!B1802), "  ")</f>
        <v xml:space="preserve">  </v>
      </c>
      <c r="C1800" s="42" t="str">
        <f>IFERROR(AVERAGE(Data!C1802), "  ")</f>
        <v xml:space="preserve">  </v>
      </c>
      <c r="D1800" s="42" t="str">
        <f>IFERROR(AVERAGE(Data!D1802), "  ")</f>
        <v xml:space="preserve">  </v>
      </c>
      <c r="E1800" s="42" t="str">
        <f>IFERROR(AVERAGE(Data!E1802), "  ")</f>
        <v xml:space="preserve">  </v>
      </c>
      <c r="F1800" s="42" t="str">
        <f>IFERROR(AVERAGE(Data!F1802), "  ")</f>
        <v xml:space="preserve">  </v>
      </c>
      <c r="G1800" s="42" t="str">
        <f>IFERROR(AVERAGE(Data!G1802), "  ")</f>
        <v xml:space="preserve">  </v>
      </c>
      <c r="H1800" s="44" t="str">
        <f>IFERROR(AVERAGE(Data!H1802), "  ")</f>
        <v xml:space="preserve">  </v>
      </c>
      <c r="I1800" s="44" t="str">
        <f>IFERROR(AVERAGE(Data!I1802), "  ")</f>
        <v xml:space="preserve">  </v>
      </c>
      <c r="J1800" s="42" t="str">
        <f>IFERROR(AVERAGE(Data!J1802), "  ")</f>
        <v xml:space="preserve">  </v>
      </c>
      <c r="K1800" s="44" t="str">
        <f>IFERROR(AVERAGE(Data!K1802), "  ")</f>
        <v xml:space="preserve">  </v>
      </c>
      <c r="L1800" s="45" t="str">
        <f>IFERROR(AVERAGE(Data!L1802), "  ")</f>
        <v xml:space="preserve">  </v>
      </c>
    </row>
    <row r="1801" spans="1:12" x14ac:dyDescent="0.2">
      <c r="A1801" s="43"/>
      <c r="B1801" s="42" t="str">
        <f>IFERROR(AVERAGE(Data!B1803), "  ")</f>
        <v xml:space="preserve">  </v>
      </c>
      <c r="C1801" s="42" t="str">
        <f>IFERROR(AVERAGE(Data!C1803), "  ")</f>
        <v xml:space="preserve">  </v>
      </c>
      <c r="D1801" s="42" t="str">
        <f>IFERROR(AVERAGE(Data!D1803), "  ")</f>
        <v xml:space="preserve">  </v>
      </c>
      <c r="E1801" s="42" t="str">
        <f>IFERROR(AVERAGE(Data!E1803), "  ")</f>
        <v xml:space="preserve">  </v>
      </c>
      <c r="F1801" s="42" t="str">
        <f>IFERROR(AVERAGE(Data!F1803), "  ")</f>
        <v xml:space="preserve">  </v>
      </c>
      <c r="G1801" s="42" t="str">
        <f>IFERROR(AVERAGE(Data!G1803), "  ")</f>
        <v xml:space="preserve">  </v>
      </c>
      <c r="H1801" s="44" t="str">
        <f>IFERROR(AVERAGE(Data!H1803), "  ")</f>
        <v xml:space="preserve">  </v>
      </c>
      <c r="I1801" s="44" t="str">
        <f>IFERROR(AVERAGE(Data!I1803), "  ")</f>
        <v xml:space="preserve">  </v>
      </c>
      <c r="J1801" s="42" t="str">
        <f>IFERROR(AVERAGE(Data!J1803), "  ")</f>
        <v xml:space="preserve">  </v>
      </c>
      <c r="K1801" s="44" t="str">
        <f>IFERROR(AVERAGE(Data!K1803), "  ")</f>
        <v xml:space="preserve">  </v>
      </c>
      <c r="L1801" s="45" t="str">
        <f>IFERROR(AVERAGE(Data!L1803), "  ")</f>
        <v xml:space="preserve">  </v>
      </c>
    </row>
    <row r="1802" spans="1:12" x14ac:dyDescent="0.2">
      <c r="A1802" s="43"/>
      <c r="B1802" s="42" t="str">
        <f>IFERROR(AVERAGE(Data!B1804), "  ")</f>
        <v xml:space="preserve">  </v>
      </c>
      <c r="C1802" s="42" t="str">
        <f>IFERROR(AVERAGE(Data!C1804), "  ")</f>
        <v xml:space="preserve">  </v>
      </c>
      <c r="D1802" s="42" t="str">
        <f>IFERROR(AVERAGE(Data!D1804), "  ")</f>
        <v xml:space="preserve">  </v>
      </c>
      <c r="E1802" s="42" t="str">
        <f>IFERROR(AVERAGE(Data!E1804), "  ")</f>
        <v xml:space="preserve">  </v>
      </c>
      <c r="F1802" s="42" t="str">
        <f>IFERROR(AVERAGE(Data!F1804), "  ")</f>
        <v xml:space="preserve">  </v>
      </c>
      <c r="G1802" s="42" t="str">
        <f>IFERROR(AVERAGE(Data!G1804), "  ")</f>
        <v xml:space="preserve">  </v>
      </c>
      <c r="H1802" s="44" t="str">
        <f>IFERROR(AVERAGE(Data!H1804), "  ")</f>
        <v xml:space="preserve">  </v>
      </c>
      <c r="I1802" s="44" t="str">
        <f>IFERROR(AVERAGE(Data!I1804), "  ")</f>
        <v xml:space="preserve">  </v>
      </c>
      <c r="J1802" s="42" t="str">
        <f>IFERROR(AVERAGE(Data!J1804), "  ")</f>
        <v xml:space="preserve">  </v>
      </c>
      <c r="K1802" s="44" t="str">
        <f>IFERROR(AVERAGE(Data!K1804), "  ")</f>
        <v xml:space="preserve">  </v>
      </c>
      <c r="L1802" s="45" t="str">
        <f>IFERROR(AVERAGE(Data!L1804), "  ")</f>
        <v xml:space="preserve">  </v>
      </c>
    </row>
    <row r="1803" spans="1:12" x14ac:dyDescent="0.2">
      <c r="A1803" s="43"/>
      <c r="B1803" s="42" t="str">
        <f>IFERROR(AVERAGE(Data!B1805), "  ")</f>
        <v xml:space="preserve">  </v>
      </c>
      <c r="C1803" s="42" t="str">
        <f>IFERROR(AVERAGE(Data!C1805), "  ")</f>
        <v xml:space="preserve">  </v>
      </c>
      <c r="D1803" s="42" t="str">
        <f>IFERROR(AVERAGE(Data!D1805), "  ")</f>
        <v xml:space="preserve">  </v>
      </c>
      <c r="E1803" s="42" t="str">
        <f>IFERROR(AVERAGE(Data!E1805), "  ")</f>
        <v xml:space="preserve">  </v>
      </c>
      <c r="F1803" s="42" t="str">
        <f>IFERROR(AVERAGE(Data!F1805), "  ")</f>
        <v xml:space="preserve">  </v>
      </c>
      <c r="G1803" s="42" t="str">
        <f>IFERROR(AVERAGE(Data!G1805), "  ")</f>
        <v xml:space="preserve">  </v>
      </c>
      <c r="H1803" s="44" t="str">
        <f>IFERROR(AVERAGE(Data!H1805), "  ")</f>
        <v xml:space="preserve">  </v>
      </c>
      <c r="I1803" s="44" t="str">
        <f>IFERROR(AVERAGE(Data!I1805), "  ")</f>
        <v xml:space="preserve">  </v>
      </c>
      <c r="J1803" s="42" t="str">
        <f>IFERROR(AVERAGE(Data!J1805), "  ")</f>
        <v xml:space="preserve">  </v>
      </c>
      <c r="K1803" s="44" t="str">
        <f>IFERROR(AVERAGE(Data!K1805), "  ")</f>
        <v xml:space="preserve">  </v>
      </c>
      <c r="L1803" s="45" t="str">
        <f>IFERROR(AVERAGE(Data!L1805), "  ")</f>
        <v xml:space="preserve">  </v>
      </c>
    </row>
    <row r="1804" spans="1:12" x14ac:dyDescent="0.2">
      <c r="A1804" s="43"/>
      <c r="B1804" s="42" t="str">
        <f>IFERROR(AVERAGE(Data!B1806), "  ")</f>
        <v xml:space="preserve">  </v>
      </c>
      <c r="C1804" s="42" t="str">
        <f>IFERROR(AVERAGE(Data!C1806), "  ")</f>
        <v xml:space="preserve">  </v>
      </c>
      <c r="D1804" s="42" t="str">
        <f>IFERROR(AVERAGE(Data!D1806), "  ")</f>
        <v xml:space="preserve">  </v>
      </c>
      <c r="E1804" s="42" t="str">
        <f>IFERROR(AVERAGE(Data!E1806), "  ")</f>
        <v xml:space="preserve">  </v>
      </c>
      <c r="F1804" s="42" t="str">
        <f>IFERROR(AVERAGE(Data!F1806), "  ")</f>
        <v xml:space="preserve">  </v>
      </c>
      <c r="G1804" s="42" t="str">
        <f>IFERROR(AVERAGE(Data!G1806), "  ")</f>
        <v xml:space="preserve">  </v>
      </c>
      <c r="H1804" s="44" t="str">
        <f>IFERROR(AVERAGE(Data!H1806), "  ")</f>
        <v xml:space="preserve">  </v>
      </c>
      <c r="I1804" s="44" t="str">
        <f>IFERROR(AVERAGE(Data!I1806), "  ")</f>
        <v xml:space="preserve">  </v>
      </c>
      <c r="J1804" s="42" t="str">
        <f>IFERROR(AVERAGE(Data!J1806), "  ")</f>
        <v xml:space="preserve">  </v>
      </c>
      <c r="K1804" s="44" t="str">
        <f>IFERROR(AVERAGE(Data!K1806), "  ")</f>
        <v xml:space="preserve">  </v>
      </c>
      <c r="L1804" s="45" t="str">
        <f>IFERROR(AVERAGE(Data!L1806), "  ")</f>
        <v xml:space="preserve">  </v>
      </c>
    </row>
    <row r="1805" spans="1:12" x14ac:dyDescent="0.2">
      <c r="A1805" s="43"/>
      <c r="B1805" s="42" t="str">
        <f>IFERROR(AVERAGE(Data!B1807), "  ")</f>
        <v xml:space="preserve">  </v>
      </c>
      <c r="C1805" s="42" t="str">
        <f>IFERROR(AVERAGE(Data!C1807), "  ")</f>
        <v xml:space="preserve">  </v>
      </c>
      <c r="D1805" s="42" t="str">
        <f>IFERROR(AVERAGE(Data!D1807), "  ")</f>
        <v xml:space="preserve">  </v>
      </c>
      <c r="E1805" s="42" t="str">
        <f>IFERROR(AVERAGE(Data!E1807), "  ")</f>
        <v xml:space="preserve">  </v>
      </c>
      <c r="F1805" s="42" t="str">
        <f>IFERROR(AVERAGE(Data!F1807), "  ")</f>
        <v xml:space="preserve">  </v>
      </c>
      <c r="G1805" s="42" t="str">
        <f>IFERROR(AVERAGE(Data!G1807), "  ")</f>
        <v xml:space="preserve">  </v>
      </c>
      <c r="H1805" s="44" t="str">
        <f>IFERROR(AVERAGE(Data!H1807), "  ")</f>
        <v xml:space="preserve">  </v>
      </c>
      <c r="I1805" s="44" t="str">
        <f>IFERROR(AVERAGE(Data!I1807), "  ")</f>
        <v xml:space="preserve">  </v>
      </c>
      <c r="J1805" s="42" t="str">
        <f>IFERROR(AVERAGE(Data!J1807), "  ")</f>
        <v xml:space="preserve">  </v>
      </c>
      <c r="K1805" s="44" t="str">
        <f>IFERROR(AVERAGE(Data!K1807), "  ")</f>
        <v xml:space="preserve">  </v>
      </c>
      <c r="L1805" s="45" t="str">
        <f>IFERROR(AVERAGE(Data!L1807), "  ")</f>
        <v xml:space="preserve">  </v>
      </c>
    </row>
    <row r="1806" spans="1:12" x14ac:dyDescent="0.2">
      <c r="A1806" s="43"/>
      <c r="B1806" s="42" t="str">
        <f>IFERROR(AVERAGE(Data!B1808), "  ")</f>
        <v xml:space="preserve">  </v>
      </c>
      <c r="C1806" s="42" t="str">
        <f>IFERROR(AVERAGE(Data!C1808), "  ")</f>
        <v xml:space="preserve">  </v>
      </c>
      <c r="D1806" s="42" t="str">
        <f>IFERROR(AVERAGE(Data!D1808), "  ")</f>
        <v xml:space="preserve">  </v>
      </c>
      <c r="E1806" s="42" t="str">
        <f>IFERROR(AVERAGE(Data!E1808), "  ")</f>
        <v xml:space="preserve">  </v>
      </c>
      <c r="F1806" s="42" t="str">
        <f>IFERROR(AVERAGE(Data!F1808), "  ")</f>
        <v xml:space="preserve">  </v>
      </c>
      <c r="G1806" s="42" t="str">
        <f>IFERROR(AVERAGE(Data!G1808), "  ")</f>
        <v xml:space="preserve">  </v>
      </c>
      <c r="H1806" s="44" t="str">
        <f>IFERROR(AVERAGE(Data!H1808), "  ")</f>
        <v xml:space="preserve">  </v>
      </c>
      <c r="I1806" s="44" t="str">
        <f>IFERROR(AVERAGE(Data!I1808), "  ")</f>
        <v xml:space="preserve">  </v>
      </c>
      <c r="J1806" s="42" t="str">
        <f>IFERROR(AVERAGE(Data!J1808), "  ")</f>
        <v xml:space="preserve">  </v>
      </c>
      <c r="K1806" s="44" t="str">
        <f>IFERROR(AVERAGE(Data!K1808), "  ")</f>
        <v xml:space="preserve">  </v>
      </c>
      <c r="L1806" s="45" t="str">
        <f>IFERROR(AVERAGE(Data!L1808), "  ")</f>
        <v xml:space="preserve">  </v>
      </c>
    </row>
    <row r="1807" spans="1:12" x14ac:dyDescent="0.2">
      <c r="A1807" s="43"/>
      <c r="B1807" s="42" t="str">
        <f>IFERROR(AVERAGE(Data!B1809), "  ")</f>
        <v xml:space="preserve">  </v>
      </c>
      <c r="C1807" s="42" t="str">
        <f>IFERROR(AVERAGE(Data!C1809), "  ")</f>
        <v xml:space="preserve">  </v>
      </c>
      <c r="D1807" s="42" t="str">
        <f>IFERROR(AVERAGE(Data!D1809), "  ")</f>
        <v xml:space="preserve">  </v>
      </c>
      <c r="E1807" s="42" t="str">
        <f>IFERROR(AVERAGE(Data!E1809), "  ")</f>
        <v xml:space="preserve">  </v>
      </c>
      <c r="F1807" s="42" t="str">
        <f>IFERROR(AVERAGE(Data!F1809), "  ")</f>
        <v xml:space="preserve">  </v>
      </c>
      <c r="G1807" s="42" t="str">
        <f>IFERROR(AVERAGE(Data!G1809), "  ")</f>
        <v xml:space="preserve">  </v>
      </c>
      <c r="H1807" s="44" t="str">
        <f>IFERROR(AVERAGE(Data!H1809), "  ")</f>
        <v xml:space="preserve">  </v>
      </c>
      <c r="I1807" s="44" t="str">
        <f>IFERROR(AVERAGE(Data!I1809), "  ")</f>
        <v xml:space="preserve">  </v>
      </c>
      <c r="J1807" s="42" t="str">
        <f>IFERROR(AVERAGE(Data!J1809), "  ")</f>
        <v xml:space="preserve">  </v>
      </c>
      <c r="K1807" s="44" t="str">
        <f>IFERROR(AVERAGE(Data!K1809), "  ")</f>
        <v xml:space="preserve">  </v>
      </c>
      <c r="L1807" s="45" t="str">
        <f>IFERROR(AVERAGE(Data!L1809), "  ")</f>
        <v xml:space="preserve">  </v>
      </c>
    </row>
    <row r="1808" spans="1:12" x14ac:dyDescent="0.2">
      <c r="A1808" s="43"/>
      <c r="B1808" s="42" t="str">
        <f>IFERROR(AVERAGE(Data!B1810), "  ")</f>
        <v xml:space="preserve">  </v>
      </c>
      <c r="C1808" s="42" t="str">
        <f>IFERROR(AVERAGE(Data!C1810), "  ")</f>
        <v xml:space="preserve">  </v>
      </c>
      <c r="D1808" s="42" t="str">
        <f>IFERROR(AVERAGE(Data!D1810), "  ")</f>
        <v xml:space="preserve">  </v>
      </c>
      <c r="E1808" s="42" t="str">
        <f>IFERROR(AVERAGE(Data!E1810), "  ")</f>
        <v xml:space="preserve">  </v>
      </c>
      <c r="F1808" s="42" t="str">
        <f>IFERROR(AVERAGE(Data!F1810), "  ")</f>
        <v xml:space="preserve">  </v>
      </c>
      <c r="G1808" s="42" t="str">
        <f>IFERROR(AVERAGE(Data!G1810), "  ")</f>
        <v xml:space="preserve">  </v>
      </c>
      <c r="H1808" s="44" t="str">
        <f>IFERROR(AVERAGE(Data!H1810), "  ")</f>
        <v xml:space="preserve">  </v>
      </c>
      <c r="I1808" s="44" t="str">
        <f>IFERROR(AVERAGE(Data!I1810), "  ")</f>
        <v xml:space="preserve">  </v>
      </c>
      <c r="J1808" s="42" t="str">
        <f>IFERROR(AVERAGE(Data!J1810), "  ")</f>
        <v xml:space="preserve">  </v>
      </c>
      <c r="K1808" s="44" t="str">
        <f>IFERROR(AVERAGE(Data!K1810), "  ")</f>
        <v xml:space="preserve">  </v>
      </c>
      <c r="L1808" s="45" t="str">
        <f>IFERROR(AVERAGE(Data!L1810), "  ")</f>
        <v xml:space="preserve">  </v>
      </c>
    </row>
    <row r="1809" spans="1:12" x14ac:dyDescent="0.2">
      <c r="A1809" s="43"/>
      <c r="B1809" s="42" t="str">
        <f>IFERROR(AVERAGE(Data!B1811), "  ")</f>
        <v xml:space="preserve">  </v>
      </c>
      <c r="C1809" s="42" t="str">
        <f>IFERROR(AVERAGE(Data!C1811), "  ")</f>
        <v xml:space="preserve">  </v>
      </c>
      <c r="D1809" s="42" t="str">
        <f>IFERROR(AVERAGE(Data!D1811), "  ")</f>
        <v xml:space="preserve">  </v>
      </c>
      <c r="E1809" s="42" t="str">
        <f>IFERROR(AVERAGE(Data!E1811), "  ")</f>
        <v xml:space="preserve">  </v>
      </c>
      <c r="F1809" s="42" t="str">
        <f>IFERROR(AVERAGE(Data!F1811), "  ")</f>
        <v xml:space="preserve">  </v>
      </c>
      <c r="G1809" s="42" t="str">
        <f>IFERROR(AVERAGE(Data!G1811), "  ")</f>
        <v xml:space="preserve">  </v>
      </c>
      <c r="H1809" s="44" t="str">
        <f>IFERROR(AVERAGE(Data!H1811), "  ")</f>
        <v xml:space="preserve">  </v>
      </c>
      <c r="I1809" s="44" t="str">
        <f>IFERROR(AVERAGE(Data!I1811), "  ")</f>
        <v xml:space="preserve">  </v>
      </c>
      <c r="J1809" s="42" t="str">
        <f>IFERROR(AVERAGE(Data!J1811), "  ")</f>
        <v xml:space="preserve">  </v>
      </c>
      <c r="K1809" s="44" t="str">
        <f>IFERROR(AVERAGE(Data!K1811), "  ")</f>
        <v xml:space="preserve">  </v>
      </c>
      <c r="L1809" s="45" t="str">
        <f>IFERROR(AVERAGE(Data!L1811), "  ")</f>
        <v xml:space="preserve">  </v>
      </c>
    </row>
    <row r="1810" spans="1:12" x14ac:dyDescent="0.2">
      <c r="A1810" s="43"/>
      <c r="B1810" s="42" t="str">
        <f>IFERROR(AVERAGE(Data!B1812), "  ")</f>
        <v xml:space="preserve">  </v>
      </c>
      <c r="C1810" s="42" t="str">
        <f>IFERROR(AVERAGE(Data!C1812), "  ")</f>
        <v xml:space="preserve">  </v>
      </c>
      <c r="D1810" s="42" t="str">
        <f>IFERROR(AVERAGE(Data!D1812), "  ")</f>
        <v xml:space="preserve">  </v>
      </c>
      <c r="E1810" s="42" t="str">
        <f>IFERROR(AVERAGE(Data!E1812), "  ")</f>
        <v xml:space="preserve">  </v>
      </c>
      <c r="F1810" s="42" t="str">
        <f>IFERROR(AVERAGE(Data!F1812), "  ")</f>
        <v xml:space="preserve">  </v>
      </c>
      <c r="G1810" s="42" t="str">
        <f>IFERROR(AVERAGE(Data!G1812), "  ")</f>
        <v xml:space="preserve">  </v>
      </c>
      <c r="H1810" s="44" t="str">
        <f>IFERROR(AVERAGE(Data!H1812), "  ")</f>
        <v xml:space="preserve">  </v>
      </c>
      <c r="I1810" s="44" t="str">
        <f>IFERROR(AVERAGE(Data!I1812), "  ")</f>
        <v xml:space="preserve">  </v>
      </c>
      <c r="J1810" s="42" t="str">
        <f>IFERROR(AVERAGE(Data!J1812), "  ")</f>
        <v xml:space="preserve">  </v>
      </c>
      <c r="K1810" s="44" t="str">
        <f>IFERROR(AVERAGE(Data!K1812), "  ")</f>
        <v xml:space="preserve">  </v>
      </c>
      <c r="L1810" s="45" t="str">
        <f>IFERROR(AVERAGE(Data!L1812), "  ")</f>
        <v xml:space="preserve">  </v>
      </c>
    </row>
    <row r="1811" spans="1:12" x14ac:dyDescent="0.2">
      <c r="A1811" s="43"/>
      <c r="B1811" s="42" t="str">
        <f>IFERROR(AVERAGE(Data!B1813), "  ")</f>
        <v xml:space="preserve">  </v>
      </c>
      <c r="C1811" s="42" t="str">
        <f>IFERROR(AVERAGE(Data!C1813), "  ")</f>
        <v xml:space="preserve">  </v>
      </c>
      <c r="D1811" s="42" t="str">
        <f>IFERROR(AVERAGE(Data!D1813), "  ")</f>
        <v xml:space="preserve">  </v>
      </c>
      <c r="E1811" s="42" t="str">
        <f>IFERROR(AVERAGE(Data!E1813), "  ")</f>
        <v xml:space="preserve">  </v>
      </c>
      <c r="F1811" s="42" t="str">
        <f>IFERROR(AVERAGE(Data!F1813), "  ")</f>
        <v xml:space="preserve">  </v>
      </c>
      <c r="G1811" s="42" t="str">
        <f>IFERROR(AVERAGE(Data!G1813), "  ")</f>
        <v xml:space="preserve">  </v>
      </c>
      <c r="H1811" s="44" t="str">
        <f>IFERROR(AVERAGE(Data!H1813), "  ")</f>
        <v xml:space="preserve">  </v>
      </c>
      <c r="I1811" s="44" t="str">
        <f>IFERROR(AVERAGE(Data!I1813), "  ")</f>
        <v xml:space="preserve">  </v>
      </c>
      <c r="J1811" s="42" t="str">
        <f>IFERROR(AVERAGE(Data!J1813), "  ")</f>
        <v xml:space="preserve">  </v>
      </c>
      <c r="K1811" s="44" t="str">
        <f>IFERROR(AVERAGE(Data!K1813), "  ")</f>
        <v xml:space="preserve">  </v>
      </c>
      <c r="L1811" s="45" t="str">
        <f>IFERROR(AVERAGE(Data!L1813), "  ")</f>
        <v xml:space="preserve">  </v>
      </c>
    </row>
    <row r="1812" spans="1:12" x14ac:dyDescent="0.2">
      <c r="A1812" s="43"/>
      <c r="B1812" s="42" t="str">
        <f>IFERROR(AVERAGE(Data!B1814), "  ")</f>
        <v xml:space="preserve">  </v>
      </c>
      <c r="C1812" s="42" t="str">
        <f>IFERROR(AVERAGE(Data!C1814), "  ")</f>
        <v xml:space="preserve">  </v>
      </c>
      <c r="D1812" s="42" t="str">
        <f>IFERROR(AVERAGE(Data!D1814), "  ")</f>
        <v xml:space="preserve">  </v>
      </c>
      <c r="E1812" s="42" t="str">
        <f>IFERROR(AVERAGE(Data!E1814), "  ")</f>
        <v xml:space="preserve">  </v>
      </c>
      <c r="F1812" s="42" t="str">
        <f>IFERROR(AVERAGE(Data!F1814), "  ")</f>
        <v xml:space="preserve">  </v>
      </c>
      <c r="G1812" s="42" t="str">
        <f>IFERROR(AVERAGE(Data!G1814), "  ")</f>
        <v xml:space="preserve">  </v>
      </c>
      <c r="H1812" s="44" t="str">
        <f>IFERROR(AVERAGE(Data!H1814), "  ")</f>
        <v xml:space="preserve">  </v>
      </c>
      <c r="I1812" s="44" t="str">
        <f>IFERROR(AVERAGE(Data!I1814), "  ")</f>
        <v xml:space="preserve">  </v>
      </c>
      <c r="J1812" s="42" t="str">
        <f>IFERROR(AVERAGE(Data!J1814), "  ")</f>
        <v xml:space="preserve">  </v>
      </c>
      <c r="K1812" s="44" t="str">
        <f>IFERROR(AVERAGE(Data!K1814), "  ")</f>
        <v xml:space="preserve">  </v>
      </c>
      <c r="L1812" s="45" t="str">
        <f>IFERROR(AVERAGE(Data!L1814), "  ")</f>
        <v xml:space="preserve">  </v>
      </c>
    </row>
    <row r="1813" spans="1:12" x14ac:dyDescent="0.2">
      <c r="A1813" s="43"/>
      <c r="B1813" s="42" t="str">
        <f>IFERROR(AVERAGE(Data!B1815), "  ")</f>
        <v xml:space="preserve">  </v>
      </c>
      <c r="C1813" s="42" t="str">
        <f>IFERROR(AVERAGE(Data!C1815), "  ")</f>
        <v xml:space="preserve">  </v>
      </c>
      <c r="D1813" s="42" t="str">
        <f>IFERROR(AVERAGE(Data!D1815), "  ")</f>
        <v xml:space="preserve">  </v>
      </c>
      <c r="E1813" s="42" t="str">
        <f>IFERROR(AVERAGE(Data!E1815), "  ")</f>
        <v xml:space="preserve">  </v>
      </c>
      <c r="F1813" s="42" t="str">
        <f>IFERROR(AVERAGE(Data!F1815), "  ")</f>
        <v xml:space="preserve">  </v>
      </c>
      <c r="G1813" s="42" t="str">
        <f>IFERROR(AVERAGE(Data!G1815), "  ")</f>
        <v xml:space="preserve">  </v>
      </c>
      <c r="H1813" s="44" t="str">
        <f>IFERROR(AVERAGE(Data!H1815), "  ")</f>
        <v xml:space="preserve">  </v>
      </c>
      <c r="I1813" s="44" t="str">
        <f>IFERROR(AVERAGE(Data!I1815), "  ")</f>
        <v xml:space="preserve">  </v>
      </c>
      <c r="J1813" s="42" t="str">
        <f>IFERROR(AVERAGE(Data!J1815), "  ")</f>
        <v xml:space="preserve">  </v>
      </c>
      <c r="K1813" s="44" t="str">
        <f>IFERROR(AVERAGE(Data!K1815), "  ")</f>
        <v xml:space="preserve">  </v>
      </c>
      <c r="L1813" s="45" t="str">
        <f>IFERROR(AVERAGE(Data!L1815), "  ")</f>
        <v xml:space="preserve">  </v>
      </c>
    </row>
    <row r="1814" spans="1:12" x14ac:dyDescent="0.2">
      <c r="A1814" s="43"/>
      <c r="B1814" s="42" t="str">
        <f>IFERROR(AVERAGE(Data!B1816), "  ")</f>
        <v xml:space="preserve">  </v>
      </c>
      <c r="C1814" s="42" t="str">
        <f>IFERROR(AVERAGE(Data!C1816), "  ")</f>
        <v xml:space="preserve">  </v>
      </c>
      <c r="D1814" s="42" t="str">
        <f>IFERROR(AVERAGE(Data!D1816), "  ")</f>
        <v xml:space="preserve">  </v>
      </c>
      <c r="E1814" s="42" t="str">
        <f>IFERROR(AVERAGE(Data!E1816), "  ")</f>
        <v xml:space="preserve">  </v>
      </c>
      <c r="F1814" s="42" t="str">
        <f>IFERROR(AVERAGE(Data!F1816), "  ")</f>
        <v xml:space="preserve">  </v>
      </c>
      <c r="G1814" s="42" t="str">
        <f>IFERROR(AVERAGE(Data!G1816), "  ")</f>
        <v xml:space="preserve">  </v>
      </c>
      <c r="H1814" s="44" t="str">
        <f>IFERROR(AVERAGE(Data!H1816), "  ")</f>
        <v xml:space="preserve">  </v>
      </c>
      <c r="I1814" s="44" t="str">
        <f>IFERROR(AVERAGE(Data!I1816), "  ")</f>
        <v xml:space="preserve">  </v>
      </c>
      <c r="J1814" s="42" t="str">
        <f>IFERROR(AVERAGE(Data!J1816), "  ")</f>
        <v xml:space="preserve">  </v>
      </c>
      <c r="K1814" s="44" t="str">
        <f>IFERROR(AVERAGE(Data!K1816), "  ")</f>
        <v xml:space="preserve">  </v>
      </c>
      <c r="L1814" s="45" t="str">
        <f>IFERROR(AVERAGE(Data!L1816), "  ")</f>
        <v xml:space="preserve">  </v>
      </c>
    </row>
    <row r="1815" spans="1:12" x14ac:dyDescent="0.2">
      <c r="A1815" s="43"/>
      <c r="B1815" s="42" t="str">
        <f>IFERROR(AVERAGE(Data!B1817), "  ")</f>
        <v xml:space="preserve">  </v>
      </c>
      <c r="C1815" s="42" t="str">
        <f>IFERROR(AVERAGE(Data!C1817), "  ")</f>
        <v xml:space="preserve">  </v>
      </c>
      <c r="D1815" s="42" t="str">
        <f>IFERROR(AVERAGE(Data!D1817), "  ")</f>
        <v xml:space="preserve">  </v>
      </c>
      <c r="E1815" s="42" t="str">
        <f>IFERROR(AVERAGE(Data!E1817), "  ")</f>
        <v xml:space="preserve">  </v>
      </c>
      <c r="F1815" s="42" t="str">
        <f>IFERROR(AVERAGE(Data!F1817), "  ")</f>
        <v xml:space="preserve">  </v>
      </c>
      <c r="G1815" s="42" t="str">
        <f>IFERROR(AVERAGE(Data!G1817), "  ")</f>
        <v xml:space="preserve">  </v>
      </c>
      <c r="H1815" s="44" t="str">
        <f>IFERROR(AVERAGE(Data!H1817), "  ")</f>
        <v xml:space="preserve">  </v>
      </c>
      <c r="I1815" s="44" t="str">
        <f>IFERROR(AVERAGE(Data!I1817), "  ")</f>
        <v xml:space="preserve">  </v>
      </c>
      <c r="J1815" s="42" t="str">
        <f>IFERROR(AVERAGE(Data!J1817), "  ")</f>
        <v xml:space="preserve">  </v>
      </c>
      <c r="K1815" s="44" t="str">
        <f>IFERROR(AVERAGE(Data!K1817), "  ")</f>
        <v xml:space="preserve">  </v>
      </c>
      <c r="L1815" s="45" t="str">
        <f>IFERROR(AVERAGE(Data!L1817), "  ")</f>
        <v xml:space="preserve">  </v>
      </c>
    </row>
    <row r="1816" spans="1:12" x14ac:dyDescent="0.2">
      <c r="A1816" s="43"/>
      <c r="B1816" s="42" t="str">
        <f>IFERROR(AVERAGE(Data!B1818), "  ")</f>
        <v xml:space="preserve">  </v>
      </c>
      <c r="C1816" s="42" t="str">
        <f>IFERROR(AVERAGE(Data!C1818), "  ")</f>
        <v xml:space="preserve">  </v>
      </c>
      <c r="D1816" s="42" t="str">
        <f>IFERROR(AVERAGE(Data!D1818), "  ")</f>
        <v xml:space="preserve">  </v>
      </c>
      <c r="E1816" s="42" t="str">
        <f>IFERROR(AVERAGE(Data!E1818), "  ")</f>
        <v xml:space="preserve">  </v>
      </c>
      <c r="F1816" s="42" t="str">
        <f>IFERROR(AVERAGE(Data!F1818), "  ")</f>
        <v xml:space="preserve">  </v>
      </c>
      <c r="G1816" s="42" t="str">
        <f>IFERROR(AVERAGE(Data!G1818), "  ")</f>
        <v xml:space="preserve">  </v>
      </c>
      <c r="H1816" s="44" t="str">
        <f>IFERROR(AVERAGE(Data!H1818), "  ")</f>
        <v xml:space="preserve">  </v>
      </c>
      <c r="I1816" s="44" t="str">
        <f>IFERROR(AVERAGE(Data!I1818), "  ")</f>
        <v xml:space="preserve">  </v>
      </c>
      <c r="J1816" s="42" t="str">
        <f>IFERROR(AVERAGE(Data!J1818), "  ")</f>
        <v xml:space="preserve">  </v>
      </c>
      <c r="K1816" s="44" t="str">
        <f>IFERROR(AVERAGE(Data!K1818), "  ")</f>
        <v xml:space="preserve">  </v>
      </c>
      <c r="L1816" s="45" t="str">
        <f>IFERROR(AVERAGE(Data!L1818), "  ")</f>
        <v xml:space="preserve">  </v>
      </c>
    </row>
    <row r="1817" spans="1:12" x14ac:dyDescent="0.2">
      <c r="A1817" s="43"/>
      <c r="B1817" s="42" t="str">
        <f>IFERROR(AVERAGE(Data!B1819), "  ")</f>
        <v xml:space="preserve">  </v>
      </c>
      <c r="C1817" s="42" t="str">
        <f>IFERROR(AVERAGE(Data!C1819), "  ")</f>
        <v xml:space="preserve">  </v>
      </c>
      <c r="D1817" s="42" t="str">
        <f>IFERROR(AVERAGE(Data!D1819), "  ")</f>
        <v xml:space="preserve">  </v>
      </c>
      <c r="E1817" s="42" t="str">
        <f>IFERROR(AVERAGE(Data!E1819), "  ")</f>
        <v xml:space="preserve">  </v>
      </c>
      <c r="F1817" s="42" t="str">
        <f>IFERROR(AVERAGE(Data!F1819), "  ")</f>
        <v xml:space="preserve">  </v>
      </c>
      <c r="G1817" s="42" t="str">
        <f>IFERROR(AVERAGE(Data!G1819), "  ")</f>
        <v xml:space="preserve">  </v>
      </c>
      <c r="H1817" s="44" t="str">
        <f>IFERROR(AVERAGE(Data!H1819), "  ")</f>
        <v xml:space="preserve">  </v>
      </c>
      <c r="I1817" s="44" t="str">
        <f>IFERROR(AVERAGE(Data!I1819), "  ")</f>
        <v xml:space="preserve">  </v>
      </c>
      <c r="J1817" s="42" t="str">
        <f>IFERROR(AVERAGE(Data!J1819), "  ")</f>
        <v xml:space="preserve">  </v>
      </c>
      <c r="K1817" s="44" t="str">
        <f>IFERROR(AVERAGE(Data!K1819), "  ")</f>
        <v xml:space="preserve">  </v>
      </c>
      <c r="L1817" s="45" t="str">
        <f>IFERROR(AVERAGE(Data!L1819), "  ")</f>
        <v xml:space="preserve">  </v>
      </c>
    </row>
    <row r="1818" spans="1:12" x14ac:dyDescent="0.2">
      <c r="A1818" s="43"/>
      <c r="B1818" s="42" t="str">
        <f>IFERROR(AVERAGE(Data!B1820), "  ")</f>
        <v xml:space="preserve">  </v>
      </c>
      <c r="C1818" s="42" t="str">
        <f>IFERROR(AVERAGE(Data!C1820), "  ")</f>
        <v xml:space="preserve">  </v>
      </c>
      <c r="D1818" s="42" t="str">
        <f>IFERROR(AVERAGE(Data!D1820), "  ")</f>
        <v xml:space="preserve">  </v>
      </c>
      <c r="E1818" s="42" t="str">
        <f>IFERROR(AVERAGE(Data!E1820), "  ")</f>
        <v xml:space="preserve">  </v>
      </c>
      <c r="F1818" s="42" t="str">
        <f>IFERROR(AVERAGE(Data!F1820), "  ")</f>
        <v xml:space="preserve">  </v>
      </c>
      <c r="G1818" s="42" t="str">
        <f>IFERROR(AVERAGE(Data!G1820), "  ")</f>
        <v xml:space="preserve">  </v>
      </c>
      <c r="H1818" s="44" t="str">
        <f>IFERROR(AVERAGE(Data!H1820), "  ")</f>
        <v xml:space="preserve">  </v>
      </c>
      <c r="I1818" s="44" t="str">
        <f>IFERROR(AVERAGE(Data!I1820), "  ")</f>
        <v xml:space="preserve">  </v>
      </c>
      <c r="J1818" s="42" t="str">
        <f>IFERROR(AVERAGE(Data!J1820), "  ")</f>
        <v xml:space="preserve">  </v>
      </c>
      <c r="K1818" s="44" t="str">
        <f>IFERROR(AVERAGE(Data!K1820), "  ")</f>
        <v xml:space="preserve">  </v>
      </c>
      <c r="L1818" s="45" t="str">
        <f>IFERROR(AVERAGE(Data!L1820), "  ")</f>
        <v xml:space="preserve">  </v>
      </c>
    </row>
    <row r="1819" spans="1:12" x14ac:dyDescent="0.2">
      <c r="A1819" s="43"/>
      <c r="B1819" s="42" t="str">
        <f>IFERROR(AVERAGE(Data!B1821), "  ")</f>
        <v xml:space="preserve">  </v>
      </c>
      <c r="C1819" s="42" t="str">
        <f>IFERROR(AVERAGE(Data!C1821), "  ")</f>
        <v xml:space="preserve">  </v>
      </c>
      <c r="D1819" s="42" t="str">
        <f>IFERROR(AVERAGE(Data!D1821), "  ")</f>
        <v xml:space="preserve">  </v>
      </c>
      <c r="E1819" s="42" t="str">
        <f>IFERROR(AVERAGE(Data!E1821), "  ")</f>
        <v xml:space="preserve">  </v>
      </c>
      <c r="F1819" s="42" t="str">
        <f>IFERROR(AVERAGE(Data!F1821), "  ")</f>
        <v xml:space="preserve">  </v>
      </c>
      <c r="G1819" s="42" t="str">
        <f>IFERROR(AVERAGE(Data!G1821), "  ")</f>
        <v xml:space="preserve">  </v>
      </c>
      <c r="H1819" s="44" t="str">
        <f>IFERROR(AVERAGE(Data!H1821), "  ")</f>
        <v xml:space="preserve">  </v>
      </c>
      <c r="I1819" s="44" t="str">
        <f>IFERROR(AVERAGE(Data!I1821), "  ")</f>
        <v xml:space="preserve">  </v>
      </c>
      <c r="J1819" s="42" t="str">
        <f>IFERROR(AVERAGE(Data!J1821), "  ")</f>
        <v xml:space="preserve">  </v>
      </c>
      <c r="K1819" s="44" t="str">
        <f>IFERROR(AVERAGE(Data!K1821), "  ")</f>
        <v xml:space="preserve">  </v>
      </c>
      <c r="L1819" s="45" t="str">
        <f>IFERROR(AVERAGE(Data!L1821), "  ")</f>
        <v xml:space="preserve">  </v>
      </c>
    </row>
    <row r="1820" spans="1:12" x14ac:dyDescent="0.2">
      <c r="A1820" s="43"/>
      <c r="B1820" s="42" t="str">
        <f>IFERROR(AVERAGE(Data!B1822), "  ")</f>
        <v xml:space="preserve">  </v>
      </c>
      <c r="C1820" s="42" t="str">
        <f>IFERROR(AVERAGE(Data!C1822), "  ")</f>
        <v xml:space="preserve">  </v>
      </c>
      <c r="D1820" s="42" t="str">
        <f>IFERROR(AVERAGE(Data!D1822), "  ")</f>
        <v xml:space="preserve">  </v>
      </c>
      <c r="E1820" s="42" t="str">
        <f>IFERROR(AVERAGE(Data!E1822), "  ")</f>
        <v xml:space="preserve">  </v>
      </c>
      <c r="F1820" s="42" t="str">
        <f>IFERROR(AVERAGE(Data!F1822), "  ")</f>
        <v xml:space="preserve">  </v>
      </c>
      <c r="G1820" s="42" t="str">
        <f>IFERROR(AVERAGE(Data!G1822), "  ")</f>
        <v xml:space="preserve">  </v>
      </c>
      <c r="H1820" s="44" t="str">
        <f>IFERROR(AVERAGE(Data!H1822), "  ")</f>
        <v xml:space="preserve">  </v>
      </c>
      <c r="I1820" s="44" t="str">
        <f>IFERROR(AVERAGE(Data!I1822), "  ")</f>
        <v xml:space="preserve">  </v>
      </c>
      <c r="J1820" s="42" t="str">
        <f>IFERROR(AVERAGE(Data!J1822), "  ")</f>
        <v xml:space="preserve">  </v>
      </c>
      <c r="K1820" s="44" t="str">
        <f>IFERROR(AVERAGE(Data!K1822), "  ")</f>
        <v xml:space="preserve">  </v>
      </c>
      <c r="L1820" s="45" t="str">
        <f>IFERROR(AVERAGE(Data!L1822), "  ")</f>
        <v xml:space="preserve">  </v>
      </c>
    </row>
    <row r="1821" spans="1:12" x14ac:dyDescent="0.2">
      <c r="A1821" s="43"/>
      <c r="B1821" s="42" t="str">
        <f>IFERROR(AVERAGE(Data!B1823), "  ")</f>
        <v xml:space="preserve">  </v>
      </c>
      <c r="C1821" s="42" t="str">
        <f>IFERROR(AVERAGE(Data!C1823), "  ")</f>
        <v xml:space="preserve">  </v>
      </c>
      <c r="D1821" s="42" t="str">
        <f>IFERROR(AVERAGE(Data!D1823), "  ")</f>
        <v xml:space="preserve">  </v>
      </c>
      <c r="E1821" s="42" t="str">
        <f>IFERROR(AVERAGE(Data!E1823), "  ")</f>
        <v xml:space="preserve">  </v>
      </c>
      <c r="F1821" s="42" t="str">
        <f>IFERROR(AVERAGE(Data!F1823), "  ")</f>
        <v xml:space="preserve">  </v>
      </c>
      <c r="G1821" s="42" t="str">
        <f>IFERROR(AVERAGE(Data!G1823), "  ")</f>
        <v xml:space="preserve">  </v>
      </c>
      <c r="H1821" s="44" t="str">
        <f>IFERROR(AVERAGE(Data!H1823), "  ")</f>
        <v xml:space="preserve">  </v>
      </c>
      <c r="I1821" s="44" t="str">
        <f>IFERROR(AVERAGE(Data!I1823), "  ")</f>
        <v xml:space="preserve">  </v>
      </c>
      <c r="J1821" s="42" t="str">
        <f>IFERROR(AVERAGE(Data!J1823), "  ")</f>
        <v xml:space="preserve">  </v>
      </c>
      <c r="K1821" s="44" t="str">
        <f>IFERROR(AVERAGE(Data!K1823), "  ")</f>
        <v xml:space="preserve">  </v>
      </c>
      <c r="L1821" s="45" t="str">
        <f>IFERROR(AVERAGE(Data!L1823), "  ")</f>
        <v xml:space="preserve">  </v>
      </c>
    </row>
    <row r="1822" spans="1:12" x14ac:dyDescent="0.2">
      <c r="A1822" s="43"/>
      <c r="B1822" s="42" t="str">
        <f>IFERROR(AVERAGE(Data!B1824), "  ")</f>
        <v xml:space="preserve">  </v>
      </c>
      <c r="C1822" s="42" t="str">
        <f>IFERROR(AVERAGE(Data!C1824), "  ")</f>
        <v xml:space="preserve">  </v>
      </c>
      <c r="D1822" s="42" t="str">
        <f>IFERROR(AVERAGE(Data!D1824), "  ")</f>
        <v xml:space="preserve">  </v>
      </c>
      <c r="E1822" s="42" t="str">
        <f>IFERROR(AVERAGE(Data!E1824), "  ")</f>
        <v xml:space="preserve">  </v>
      </c>
      <c r="F1822" s="42" t="str">
        <f>IFERROR(AVERAGE(Data!F1824), "  ")</f>
        <v xml:space="preserve">  </v>
      </c>
      <c r="G1822" s="42" t="str">
        <f>IFERROR(AVERAGE(Data!G1824), "  ")</f>
        <v xml:space="preserve">  </v>
      </c>
      <c r="H1822" s="44" t="str">
        <f>IFERROR(AVERAGE(Data!H1824), "  ")</f>
        <v xml:space="preserve">  </v>
      </c>
      <c r="I1822" s="44" t="str">
        <f>IFERROR(AVERAGE(Data!I1824), "  ")</f>
        <v xml:space="preserve">  </v>
      </c>
      <c r="J1822" s="42" t="str">
        <f>IFERROR(AVERAGE(Data!J1824), "  ")</f>
        <v xml:space="preserve">  </v>
      </c>
      <c r="K1822" s="44" t="str">
        <f>IFERROR(AVERAGE(Data!K1824), "  ")</f>
        <v xml:space="preserve">  </v>
      </c>
      <c r="L1822" s="45" t="str">
        <f>IFERROR(AVERAGE(Data!L1824), "  ")</f>
        <v xml:space="preserve">  </v>
      </c>
    </row>
    <row r="1823" spans="1:12" x14ac:dyDescent="0.2">
      <c r="A1823" s="43"/>
      <c r="B1823" s="42" t="str">
        <f>IFERROR(AVERAGE(Data!B1825), "  ")</f>
        <v xml:space="preserve">  </v>
      </c>
      <c r="C1823" s="42" t="str">
        <f>IFERROR(AVERAGE(Data!C1825), "  ")</f>
        <v xml:space="preserve">  </v>
      </c>
      <c r="D1823" s="42" t="str">
        <f>IFERROR(AVERAGE(Data!D1825), "  ")</f>
        <v xml:space="preserve">  </v>
      </c>
      <c r="E1823" s="42" t="str">
        <f>IFERROR(AVERAGE(Data!E1825), "  ")</f>
        <v xml:space="preserve">  </v>
      </c>
      <c r="F1823" s="42" t="str">
        <f>IFERROR(AVERAGE(Data!F1825), "  ")</f>
        <v xml:space="preserve">  </v>
      </c>
      <c r="G1823" s="42" t="str">
        <f>IFERROR(AVERAGE(Data!G1825), "  ")</f>
        <v xml:space="preserve">  </v>
      </c>
      <c r="H1823" s="44" t="str">
        <f>IFERROR(AVERAGE(Data!H1825), "  ")</f>
        <v xml:space="preserve">  </v>
      </c>
      <c r="I1823" s="44" t="str">
        <f>IFERROR(AVERAGE(Data!I1825), "  ")</f>
        <v xml:space="preserve">  </v>
      </c>
      <c r="J1823" s="42" t="str">
        <f>IFERROR(AVERAGE(Data!J1825), "  ")</f>
        <v xml:space="preserve">  </v>
      </c>
      <c r="K1823" s="44" t="str">
        <f>IFERROR(AVERAGE(Data!K1825), "  ")</f>
        <v xml:space="preserve">  </v>
      </c>
      <c r="L1823" s="45" t="str">
        <f>IFERROR(AVERAGE(Data!L1825), "  ")</f>
        <v xml:space="preserve">  </v>
      </c>
    </row>
    <row r="1824" spans="1:12" x14ac:dyDescent="0.2">
      <c r="A1824" s="43"/>
      <c r="B1824" s="42" t="str">
        <f>IFERROR(AVERAGE(Data!B1826), "  ")</f>
        <v xml:space="preserve">  </v>
      </c>
      <c r="C1824" s="42" t="str">
        <f>IFERROR(AVERAGE(Data!C1826), "  ")</f>
        <v xml:space="preserve">  </v>
      </c>
      <c r="D1824" s="42" t="str">
        <f>IFERROR(AVERAGE(Data!D1826), "  ")</f>
        <v xml:space="preserve">  </v>
      </c>
      <c r="E1824" s="42" t="str">
        <f>IFERROR(AVERAGE(Data!E1826), "  ")</f>
        <v xml:space="preserve">  </v>
      </c>
      <c r="F1824" s="42" t="str">
        <f>IFERROR(AVERAGE(Data!F1826), "  ")</f>
        <v xml:space="preserve">  </v>
      </c>
      <c r="G1824" s="42" t="str">
        <f>IFERROR(AVERAGE(Data!G1826), "  ")</f>
        <v xml:space="preserve">  </v>
      </c>
      <c r="H1824" s="44" t="str">
        <f>IFERROR(AVERAGE(Data!H1826), "  ")</f>
        <v xml:space="preserve">  </v>
      </c>
      <c r="I1824" s="44" t="str">
        <f>IFERROR(AVERAGE(Data!I1826), "  ")</f>
        <v xml:space="preserve">  </v>
      </c>
      <c r="J1824" s="42" t="str">
        <f>IFERROR(AVERAGE(Data!J1826), "  ")</f>
        <v xml:space="preserve">  </v>
      </c>
      <c r="K1824" s="44" t="str">
        <f>IFERROR(AVERAGE(Data!K1826), "  ")</f>
        <v xml:space="preserve">  </v>
      </c>
      <c r="L1824" s="45" t="str">
        <f>IFERROR(AVERAGE(Data!L1826), "  ")</f>
        <v xml:space="preserve">  </v>
      </c>
    </row>
    <row r="1825" spans="1:12" x14ac:dyDescent="0.2">
      <c r="A1825" s="43"/>
      <c r="B1825" s="42" t="str">
        <f>IFERROR(AVERAGE(Data!B1827), "  ")</f>
        <v xml:space="preserve">  </v>
      </c>
      <c r="C1825" s="42" t="str">
        <f>IFERROR(AVERAGE(Data!C1827), "  ")</f>
        <v xml:space="preserve">  </v>
      </c>
      <c r="D1825" s="42" t="str">
        <f>IFERROR(AVERAGE(Data!D1827), "  ")</f>
        <v xml:space="preserve">  </v>
      </c>
      <c r="E1825" s="42" t="str">
        <f>IFERROR(AVERAGE(Data!E1827), "  ")</f>
        <v xml:space="preserve">  </v>
      </c>
      <c r="F1825" s="42" t="str">
        <f>IFERROR(AVERAGE(Data!F1827), "  ")</f>
        <v xml:space="preserve">  </v>
      </c>
      <c r="G1825" s="42" t="str">
        <f>IFERROR(AVERAGE(Data!G1827), "  ")</f>
        <v xml:space="preserve">  </v>
      </c>
      <c r="H1825" s="44" t="str">
        <f>IFERROR(AVERAGE(Data!H1827), "  ")</f>
        <v xml:space="preserve">  </v>
      </c>
      <c r="I1825" s="44" t="str">
        <f>IFERROR(AVERAGE(Data!I1827), "  ")</f>
        <v xml:space="preserve">  </v>
      </c>
      <c r="J1825" s="42" t="str">
        <f>IFERROR(AVERAGE(Data!J1827), "  ")</f>
        <v xml:space="preserve">  </v>
      </c>
      <c r="K1825" s="44" t="str">
        <f>IFERROR(AVERAGE(Data!K1827), "  ")</f>
        <v xml:space="preserve">  </v>
      </c>
      <c r="L1825" s="45" t="str">
        <f>IFERROR(AVERAGE(Data!L1827), "  ")</f>
        <v xml:space="preserve">  </v>
      </c>
    </row>
    <row r="1826" spans="1:12" x14ac:dyDescent="0.2">
      <c r="A1826" s="43"/>
      <c r="B1826" s="42" t="str">
        <f>IFERROR(AVERAGE(Data!B1828), "  ")</f>
        <v xml:space="preserve">  </v>
      </c>
      <c r="C1826" s="42" t="str">
        <f>IFERROR(AVERAGE(Data!C1828), "  ")</f>
        <v xml:space="preserve">  </v>
      </c>
      <c r="D1826" s="42" t="str">
        <f>IFERROR(AVERAGE(Data!D1828), "  ")</f>
        <v xml:space="preserve">  </v>
      </c>
      <c r="E1826" s="42" t="str">
        <f>IFERROR(AVERAGE(Data!E1828), "  ")</f>
        <v xml:space="preserve">  </v>
      </c>
      <c r="F1826" s="42" t="str">
        <f>IFERROR(AVERAGE(Data!F1828), "  ")</f>
        <v xml:space="preserve">  </v>
      </c>
      <c r="G1826" s="42" t="str">
        <f>IFERROR(AVERAGE(Data!G1828), "  ")</f>
        <v xml:space="preserve">  </v>
      </c>
      <c r="H1826" s="44" t="str">
        <f>IFERROR(AVERAGE(Data!H1828), "  ")</f>
        <v xml:space="preserve">  </v>
      </c>
      <c r="I1826" s="44" t="str">
        <f>IFERROR(AVERAGE(Data!I1828), "  ")</f>
        <v xml:space="preserve">  </v>
      </c>
      <c r="J1826" s="42" t="str">
        <f>IFERROR(AVERAGE(Data!J1828), "  ")</f>
        <v xml:space="preserve">  </v>
      </c>
      <c r="K1826" s="44" t="str">
        <f>IFERROR(AVERAGE(Data!K1828), "  ")</f>
        <v xml:space="preserve">  </v>
      </c>
      <c r="L1826" s="45" t="str">
        <f>IFERROR(AVERAGE(Data!L1828), "  ")</f>
        <v xml:space="preserve">  </v>
      </c>
    </row>
    <row r="1827" spans="1:12" x14ac:dyDescent="0.2">
      <c r="A1827" s="43"/>
      <c r="B1827" s="42" t="str">
        <f>IFERROR(AVERAGE(Data!B1829), "  ")</f>
        <v xml:space="preserve">  </v>
      </c>
      <c r="C1827" s="42" t="str">
        <f>IFERROR(AVERAGE(Data!C1829), "  ")</f>
        <v xml:space="preserve">  </v>
      </c>
      <c r="D1827" s="42" t="str">
        <f>IFERROR(AVERAGE(Data!D1829), "  ")</f>
        <v xml:space="preserve">  </v>
      </c>
      <c r="E1827" s="42" t="str">
        <f>IFERROR(AVERAGE(Data!E1829), "  ")</f>
        <v xml:space="preserve">  </v>
      </c>
      <c r="F1827" s="42" t="str">
        <f>IFERROR(AVERAGE(Data!F1829), "  ")</f>
        <v xml:space="preserve">  </v>
      </c>
      <c r="G1827" s="42" t="str">
        <f>IFERROR(AVERAGE(Data!G1829), "  ")</f>
        <v xml:space="preserve">  </v>
      </c>
      <c r="H1827" s="44" t="str">
        <f>IFERROR(AVERAGE(Data!H1829), "  ")</f>
        <v xml:space="preserve">  </v>
      </c>
      <c r="I1827" s="44" t="str">
        <f>IFERROR(AVERAGE(Data!I1829), "  ")</f>
        <v xml:space="preserve">  </v>
      </c>
      <c r="J1827" s="42" t="str">
        <f>IFERROR(AVERAGE(Data!J1829), "  ")</f>
        <v xml:space="preserve">  </v>
      </c>
      <c r="K1827" s="44" t="str">
        <f>IFERROR(AVERAGE(Data!K1829), "  ")</f>
        <v xml:space="preserve">  </v>
      </c>
      <c r="L1827" s="45" t="str">
        <f>IFERROR(AVERAGE(Data!L1829), "  ")</f>
        <v xml:space="preserve">  </v>
      </c>
    </row>
    <row r="1828" spans="1:12" x14ac:dyDescent="0.2">
      <c r="A1828" s="43"/>
      <c r="B1828" s="42" t="str">
        <f>IFERROR(AVERAGE(Data!B1830), "  ")</f>
        <v xml:space="preserve">  </v>
      </c>
      <c r="C1828" s="42" t="str">
        <f>IFERROR(AVERAGE(Data!C1830), "  ")</f>
        <v xml:space="preserve">  </v>
      </c>
      <c r="D1828" s="42" t="str">
        <f>IFERROR(AVERAGE(Data!D1830), "  ")</f>
        <v xml:space="preserve">  </v>
      </c>
      <c r="E1828" s="42" t="str">
        <f>IFERROR(AVERAGE(Data!E1830), "  ")</f>
        <v xml:space="preserve">  </v>
      </c>
      <c r="F1828" s="42" t="str">
        <f>IFERROR(AVERAGE(Data!F1830), "  ")</f>
        <v xml:space="preserve">  </v>
      </c>
      <c r="G1828" s="42" t="str">
        <f>IFERROR(AVERAGE(Data!G1830), "  ")</f>
        <v xml:space="preserve">  </v>
      </c>
      <c r="H1828" s="44" t="str">
        <f>IFERROR(AVERAGE(Data!H1830), "  ")</f>
        <v xml:space="preserve">  </v>
      </c>
      <c r="I1828" s="44" t="str">
        <f>IFERROR(AVERAGE(Data!I1830), "  ")</f>
        <v xml:space="preserve">  </v>
      </c>
      <c r="J1828" s="42" t="str">
        <f>IFERROR(AVERAGE(Data!J1830), "  ")</f>
        <v xml:space="preserve">  </v>
      </c>
      <c r="K1828" s="44" t="str">
        <f>IFERROR(AVERAGE(Data!K1830), "  ")</f>
        <v xml:space="preserve">  </v>
      </c>
      <c r="L1828" s="45" t="str">
        <f>IFERROR(AVERAGE(Data!L1830), "  ")</f>
        <v xml:space="preserve">  </v>
      </c>
    </row>
    <row r="1829" spans="1:12" x14ac:dyDescent="0.2">
      <c r="A1829" s="43"/>
      <c r="B1829" s="42" t="str">
        <f>IFERROR(AVERAGE(Data!B1831), "  ")</f>
        <v xml:space="preserve">  </v>
      </c>
      <c r="C1829" s="42" t="str">
        <f>IFERROR(AVERAGE(Data!C1831), "  ")</f>
        <v xml:space="preserve">  </v>
      </c>
      <c r="D1829" s="42" t="str">
        <f>IFERROR(AVERAGE(Data!D1831), "  ")</f>
        <v xml:space="preserve">  </v>
      </c>
      <c r="E1829" s="42" t="str">
        <f>IFERROR(AVERAGE(Data!E1831), "  ")</f>
        <v xml:space="preserve">  </v>
      </c>
      <c r="F1829" s="42" t="str">
        <f>IFERROR(AVERAGE(Data!F1831), "  ")</f>
        <v xml:space="preserve">  </v>
      </c>
      <c r="G1829" s="42" t="str">
        <f>IFERROR(AVERAGE(Data!G1831), "  ")</f>
        <v xml:space="preserve">  </v>
      </c>
      <c r="H1829" s="44" t="str">
        <f>IFERROR(AVERAGE(Data!H1831), "  ")</f>
        <v xml:space="preserve">  </v>
      </c>
      <c r="I1829" s="44" t="str">
        <f>IFERROR(AVERAGE(Data!I1831), "  ")</f>
        <v xml:space="preserve">  </v>
      </c>
      <c r="J1829" s="42" t="str">
        <f>IFERROR(AVERAGE(Data!J1831), "  ")</f>
        <v xml:space="preserve">  </v>
      </c>
      <c r="K1829" s="44" t="str">
        <f>IFERROR(AVERAGE(Data!K1831), "  ")</f>
        <v xml:space="preserve">  </v>
      </c>
      <c r="L1829" s="45" t="str">
        <f>IFERROR(AVERAGE(Data!L1831), "  ")</f>
        <v xml:space="preserve">  </v>
      </c>
    </row>
    <row r="1830" spans="1:12" x14ac:dyDescent="0.2">
      <c r="A1830" s="43"/>
      <c r="B1830" s="42" t="str">
        <f>IFERROR(AVERAGE(Data!B1832), "  ")</f>
        <v xml:space="preserve">  </v>
      </c>
      <c r="C1830" s="42" t="str">
        <f>IFERROR(AVERAGE(Data!C1832), "  ")</f>
        <v xml:space="preserve">  </v>
      </c>
      <c r="D1830" s="42" t="str">
        <f>IFERROR(AVERAGE(Data!D1832), "  ")</f>
        <v xml:space="preserve">  </v>
      </c>
      <c r="E1830" s="42" t="str">
        <f>IFERROR(AVERAGE(Data!E1832), "  ")</f>
        <v xml:space="preserve">  </v>
      </c>
      <c r="F1830" s="42" t="str">
        <f>IFERROR(AVERAGE(Data!F1832), "  ")</f>
        <v xml:space="preserve">  </v>
      </c>
      <c r="G1830" s="42" t="str">
        <f>IFERROR(AVERAGE(Data!G1832), "  ")</f>
        <v xml:space="preserve">  </v>
      </c>
      <c r="H1830" s="44" t="str">
        <f>IFERROR(AVERAGE(Data!H1832), "  ")</f>
        <v xml:space="preserve">  </v>
      </c>
      <c r="I1830" s="44" t="str">
        <f>IFERROR(AVERAGE(Data!I1832), "  ")</f>
        <v xml:space="preserve">  </v>
      </c>
      <c r="J1830" s="42" t="str">
        <f>IFERROR(AVERAGE(Data!J1832), "  ")</f>
        <v xml:space="preserve">  </v>
      </c>
      <c r="K1830" s="44" t="str">
        <f>IFERROR(AVERAGE(Data!K1832), "  ")</f>
        <v xml:space="preserve">  </v>
      </c>
      <c r="L1830" s="45" t="str">
        <f>IFERROR(AVERAGE(Data!L1832), "  ")</f>
        <v xml:space="preserve">  </v>
      </c>
    </row>
    <row r="1831" spans="1:12" x14ac:dyDescent="0.2">
      <c r="A1831" s="43"/>
      <c r="B1831" s="42" t="str">
        <f>IFERROR(AVERAGE(Data!B1833), "  ")</f>
        <v xml:space="preserve">  </v>
      </c>
      <c r="C1831" s="42" t="str">
        <f>IFERROR(AVERAGE(Data!C1833), "  ")</f>
        <v xml:space="preserve">  </v>
      </c>
      <c r="D1831" s="42" t="str">
        <f>IFERROR(AVERAGE(Data!D1833), "  ")</f>
        <v xml:space="preserve">  </v>
      </c>
      <c r="E1831" s="42" t="str">
        <f>IFERROR(AVERAGE(Data!E1833), "  ")</f>
        <v xml:space="preserve">  </v>
      </c>
      <c r="F1831" s="42" t="str">
        <f>IFERROR(AVERAGE(Data!F1833), "  ")</f>
        <v xml:space="preserve">  </v>
      </c>
      <c r="G1831" s="42" t="str">
        <f>IFERROR(AVERAGE(Data!G1833), "  ")</f>
        <v xml:space="preserve">  </v>
      </c>
      <c r="H1831" s="44" t="str">
        <f>IFERROR(AVERAGE(Data!H1833), "  ")</f>
        <v xml:space="preserve">  </v>
      </c>
      <c r="I1831" s="44" t="str">
        <f>IFERROR(AVERAGE(Data!I1833), "  ")</f>
        <v xml:space="preserve">  </v>
      </c>
      <c r="J1831" s="42" t="str">
        <f>IFERROR(AVERAGE(Data!J1833), "  ")</f>
        <v xml:space="preserve">  </v>
      </c>
      <c r="K1831" s="44" t="str">
        <f>IFERROR(AVERAGE(Data!K1833), "  ")</f>
        <v xml:space="preserve">  </v>
      </c>
      <c r="L1831" s="45" t="str">
        <f>IFERROR(AVERAGE(Data!L1833), "  ")</f>
        <v xml:space="preserve">  </v>
      </c>
    </row>
    <row r="1832" spans="1:12" x14ac:dyDescent="0.2">
      <c r="A1832" s="43"/>
      <c r="B1832" s="42" t="str">
        <f>IFERROR(AVERAGE(Data!B1834), "  ")</f>
        <v xml:space="preserve">  </v>
      </c>
      <c r="C1832" s="42" t="str">
        <f>IFERROR(AVERAGE(Data!C1834), "  ")</f>
        <v xml:space="preserve">  </v>
      </c>
      <c r="D1832" s="42" t="str">
        <f>IFERROR(AVERAGE(Data!D1834), "  ")</f>
        <v xml:space="preserve">  </v>
      </c>
      <c r="E1832" s="42" t="str">
        <f>IFERROR(AVERAGE(Data!E1834), "  ")</f>
        <v xml:space="preserve">  </v>
      </c>
      <c r="F1832" s="42" t="str">
        <f>IFERROR(AVERAGE(Data!F1834), "  ")</f>
        <v xml:space="preserve">  </v>
      </c>
      <c r="G1832" s="42" t="str">
        <f>IFERROR(AVERAGE(Data!G1834), "  ")</f>
        <v xml:space="preserve">  </v>
      </c>
      <c r="H1832" s="44" t="str">
        <f>IFERROR(AVERAGE(Data!H1834), "  ")</f>
        <v xml:space="preserve">  </v>
      </c>
      <c r="I1832" s="44" t="str">
        <f>IFERROR(AVERAGE(Data!I1834), "  ")</f>
        <v xml:space="preserve">  </v>
      </c>
      <c r="J1832" s="42" t="str">
        <f>IFERROR(AVERAGE(Data!J1834), "  ")</f>
        <v xml:space="preserve">  </v>
      </c>
      <c r="K1832" s="44" t="str">
        <f>IFERROR(AVERAGE(Data!K1834), "  ")</f>
        <v xml:space="preserve">  </v>
      </c>
      <c r="L1832" s="45" t="str">
        <f>IFERROR(AVERAGE(Data!L1834), "  ")</f>
        <v xml:space="preserve">  </v>
      </c>
    </row>
    <row r="1833" spans="1:12" x14ac:dyDescent="0.2">
      <c r="A1833" s="43"/>
      <c r="B1833" s="42" t="str">
        <f>IFERROR(AVERAGE(Data!B1835), "  ")</f>
        <v xml:space="preserve">  </v>
      </c>
      <c r="C1833" s="42" t="str">
        <f>IFERROR(AVERAGE(Data!C1835), "  ")</f>
        <v xml:space="preserve">  </v>
      </c>
      <c r="D1833" s="42" t="str">
        <f>IFERROR(AVERAGE(Data!D1835), "  ")</f>
        <v xml:space="preserve">  </v>
      </c>
      <c r="E1833" s="42" t="str">
        <f>IFERROR(AVERAGE(Data!E1835), "  ")</f>
        <v xml:space="preserve">  </v>
      </c>
      <c r="F1833" s="42" t="str">
        <f>IFERROR(AVERAGE(Data!F1835), "  ")</f>
        <v xml:space="preserve">  </v>
      </c>
      <c r="G1833" s="42" t="str">
        <f>IFERROR(AVERAGE(Data!G1835), "  ")</f>
        <v xml:space="preserve">  </v>
      </c>
      <c r="H1833" s="44" t="str">
        <f>IFERROR(AVERAGE(Data!H1835), "  ")</f>
        <v xml:space="preserve">  </v>
      </c>
      <c r="I1833" s="44" t="str">
        <f>IFERROR(AVERAGE(Data!I1835), "  ")</f>
        <v xml:space="preserve">  </v>
      </c>
      <c r="J1833" s="42" t="str">
        <f>IFERROR(AVERAGE(Data!J1835), "  ")</f>
        <v xml:space="preserve">  </v>
      </c>
      <c r="K1833" s="44" t="str">
        <f>IFERROR(AVERAGE(Data!K1835), "  ")</f>
        <v xml:space="preserve">  </v>
      </c>
      <c r="L1833" s="45" t="str">
        <f>IFERROR(AVERAGE(Data!L1835), "  ")</f>
        <v xml:space="preserve">  </v>
      </c>
    </row>
    <row r="1834" spans="1:12" x14ac:dyDescent="0.2">
      <c r="A1834" s="43"/>
      <c r="B1834" s="42" t="str">
        <f>IFERROR(AVERAGE(Data!B1836), "  ")</f>
        <v xml:space="preserve">  </v>
      </c>
      <c r="C1834" s="42" t="str">
        <f>IFERROR(AVERAGE(Data!C1836), "  ")</f>
        <v xml:space="preserve">  </v>
      </c>
      <c r="D1834" s="42" t="str">
        <f>IFERROR(AVERAGE(Data!D1836), "  ")</f>
        <v xml:space="preserve">  </v>
      </c>
      <c r="E1834" s="42" t="str">
        <f>IFERROR(AVERAGE(Data!E1836), "  ")</f>
        <v xml:space="preserve">  </v>
      </c>
      <c r="F1834" s="42" t="str">
        <f>IFERROR(AVERAGE(Data!F1836), "  ")</f>
        <v xml:space="preserve">  </v>
      </c>
      <c r="G1834" s="42" t="str">
        <f>IFERROR(AVERAGE(Data!G1836), "  ")</f>
        <v xml:space="preserve">  </v>
      </c>
      <c r="H1834" s="44" t="str">
        <f>IFERROR(AVERAGE(Data!H1836), "  ")</f>
        <v xml:space="preserve">  </v>
      </c>
      <c r="I1834" s="44" t="str">
        <f>IFERROR(AVERAGE(Data!I1836), "  ")</f>
        <v xml:space="preserve">  </v>
      </c>
      <c r="J1834" s="42" t="str">
        <f>IFERROR(AVERAGE(Data!J1836), "  ")</f>
        <v xml:space="preserve">  </v>
      </c>
      <c r="K1834" s="44" t="str">
        <f>IFERROR(AVERAGE(Data!K1836), "  ")</f>
        <v xml:space="preserve">  </v>
      </c>
      <c r="L1834" s="45" t="str">
        <f>IFERROR(AVERAGE(Data!L1836), "  ")</f>
        <v xml:space="preserve">  </v>
      </c>
    </row>
    <row r="1835" spans="1:12" x14ac:dyDescent="0.2">
      <c r="A1835" s="43"/>
      <c r="B1835" s="42" t="str">
        <f>IFERROR(AVERAGE(Data!B1837), "  ")</f>
        <v xml:space="preserve">  </v>
      </c>
      <c r="C1835" s="42" t="str">
        <f>IFERROR(AVERAGE(Data!C1837), "  ")</f>
        <v xml:space="preserve">  </v>
      </c>
      <c r="D1835" s="42" t="str">
        <f>IFERROR(AVERAGE(Data!D1837), "  ")</f>
        <v xml:space="preserve">  </v>
      </c>
      <c r="E1835" s="42" t="str">
        <f>IFERROR(AVERAGE(Data!E1837), "  ")</f>
        <v xml:space="preserve">  </v>
      </c>
      <c r="F1835" s="42" t="str">
        <f>IFERROR(AVERAGE(Data!F1837), "  ")</f>
        <v xml:space="preserve">  </v>
      </c>
      <c r="G1835" s="42" t="str">
        <f>IFERROR(AVERAGE(Data!G1837), "  ")</f>
        <v xml:space="preserve">  </v>
      </c>
      <c r="H1835" s="44" t="str">
        <f>IFERROR(AVERAGE(Data!H1837), "  ")</f>
        <v xml:space="preserve">  </v>
      </c>
      <c r="I1835" s="44" t="str">
        <f>IFERROR(AVERAGE(Data!I1837), "  ")</f>
        <v xml:space="preserve">  </v>
      </c>
      <c r="J1835" s="42" t="str">
        <f>IFERROR(AVERAGE(Data!J1837), "  ")</f>
        <v xml:space="preserve">  </v>
      </c>
      <c r="K1835" s="44" t="str">
        <f>IFERROR(AVERAGE(Data!K1837), "  ")</f>
        <v xml:space="preserve">  </v>
      </c>
      <c r="L1835" s="45" t="str">
        <f>IFERROR(AVERAGE(Data!L1837), "  ")</f>
        <v xml:space="preserve">  </v>
      </c>
    </row>
    <row r="1836" spans="1:12" x14ac:dyDescent="0.2">
      <c r="A1836" s="43"/>
      <c r="B1836" s="42" t="str">
        <f>IFERROR(AVERAGE(Data!B1838), "  ")</f>
        <v xml:space="preserve">  </v>
      </c>
      <c r="C1836" s="42" t="str">
        <f>IFERROR(AVERAGE(Data!C1838), "  ")</f>
        <v xml:space="preserve">  </v>
      </c>
      <c r="D1836" s="42" t="str">
        <f>IFERROR(AVERAGE(Data!D1838), "  ")</f>
        <v xml:space="preserve">  </v>
      </c>
      <c r="E1836" s="42" t="str">
        <f>IFERROR(AVERAGE(Data!E1838), "  ")</f>
        <v xml:space="preserve">  </v>
      </c>
      <c r="F1836" s="42" t="str">
        <f>IFERROR(AVERAGE(Data!F1838), "  ")</f>
        <v xml:space="preserve">  </v>
      </c>
      <c r="G1836" s="42" t="str">
        <f>IFERROR(AVERAGE(Data!G1838), "  ")</f>
        <v xml:space="preserve">  </v>
      </c>
      <c r="H1836" s="44" t="str">
        <f>IFERROR(AVERAGE(Data!H1838), "  ")</f>
        <v xml:space="preserve">  </v>
      </c>
      <c r="I1836" s="44" t="str">
        <f>IFERROR(AVERAGE(Data!I1838), "  ")</f>
        <v xml:space="preserve">  </v>
      </c>
      <c r="J1836" s="42" t="str">
        <f>IFERROR(AVERAGE(Data!J1838), "  ")</f>
        <v xml:space="preserve">  </v>
      </c>
      <c r="K1836" s="44" t="str">
        <f>IFERROR(AVERAGE(Data!K1838), "  ")</f>
        <v xml:space="preserve">  </v>
      </c>
      <c r="L1836" s="45" t="str">
        <f>IFERROR(AVERAGE(Data!L1838), "  ")</f>
        <v xml:space="preserve">  </v>
      </c>
    </row>
    <row r="1837" spans="1:12" x14ac:dyDescent="0.2">
      <c r="A1837" s="43"/>
      <c r="B1837" s="42" t="str">
        <f>IFERROR(AVERAGE(Data!B1839), "  ")</f>
        <v xml:space="preserve">  </v>
      </c>
      <c r="C1837" s="42" t="str">
        <f>IFERROR(AVERAGE(Data!C1839), "  ")</f>
        <v xml:space="preserve">  </v>
      </c>
      <c r="D1837" s="42" t="str">
        <f>IFERROR(AVERAGE(Data!D1839), "  ")</f>
        <v xml:space="preserve">  </v>
      </c>
      <c r="E1837" s="42" t="str">
        <f>IFERROR(AVERAGE(Data!E1839), "  ")</f>
        <v xml:space="preserve">  </v>
      </c>
      <c r="F1837" s="42" t="str">
        <f>IFERROR(AVERAGE(Data!F1839), "  ")</f>
        <v xml:space="preserve">  </v>
      </c>
      <c r="G1837" s="42" t="str">
        <f>IFERROR(AVERAGE(Data!G1839), "  ")</f>
        <v xml:space="preserve">  </v>
      </c>
      <c r="H1837" s="44" t="str">
        <f>IFERROR(AVERAGE(Data!H1839), "  ")</f>
        <v xml:space="preserve">  </v>
      </c>
      <c r="I1837" s="44" t="str">
        <f>IFERROR(AVERAGE(Data!I1839), "  ")</f>
        <v xml:space="preserve">  </v>
      </c>
      <c r="J1837" s="42" t="str">
        <f>IFERROR(AVERAGE(Data!J1839), "  ")</f>
        <v xml:space="preserve">  </v>
      </c>
      <c r="K1837" s="44" t="str">
        <f>IFERROR(AVERAGE(Data!K1839), "  ")</f>
        <v xml:space="preserve">  </v>
      </c>
      <c r="L1837" s="45" t="str">
        <f>IFERROR(AVERAGE(Data!L1839), "  ")</f>
        <v xml:space="preserve">  </v>
      </c>
    </row>
    <row r="1838" spans="1:12" x14ac:dyDescent="0.2">
      <c r="A1838" s="43"/>
      <c r="B1838" s="42" t="str">
        <f>IFERROR(AVERAGE(Data!B1840), "  ")</f>
        <v xml:space="preserve">  </v>
      </c>
      <c r="C1838" s="42" t="str">
        <f>IFERROR(AVERAGE(Data!C1840), "  ")</f>
        <v xml:space="preserve">  </v>
      </c>
      <c r="D1838" s="42" t="str">
        <f>IFERROR(AVERAGE(Data!D1840), "  ")</f>
        <v xml:space="preserve">  </v>
      </c>
      <c r="E1838" s="42" t="str">
        <f>IFERROR(AVERAGE(Data!E1840), "  ")</f>
        <v xml:space="preserve">  </v>
      </c>
      <c r="F1838" s="42" t="str">
        <f>IFERROR(AVERAGE(Data!F1840), "  ")</f>
        <v xml:space="preserve">  </v>
      </c>
      <c r="G1838" s="42" t="str">
        <f>IFERROR(AVERAGE(Data!G1840), "  ")</f>
        <v xml:space="preserve">  </v>
      </c>
      <c r="H1838" s="44" t="str">
        <f>IFERROR(AVERAGE(Data!H1840), "  ")</f>
        <v xml:space="preserve">  </v>
      </c>
      <c r="I1838" s="44" t="str">
        <f>IFERROR(AVERAGE(Data!I1840), "  ")</f>
        <v xml:space="preserve">  </v>
      </c>
      <c r="J1838" s="42" t="str">
        <f>IFERROR(AVERAGE(Data!J1840), "  ")</f>
        <v xml:space="preserve">  </v>
      </c>
      <c r="K1838" s="44" t="str">
        <f>IFERROR(AVERAGE(Data!K1840), "  ")</f>
        <v xml:space="preserve">  </v>
      </c>
      <c r="L1838" s="45" t="str">
        <f>IFERROR(AVERAGE(Data!L1840), "  ")</f>
        <v xml:space="preserve">  </v>
      </c>
    </row>
    <row r="1839" spans="1:12" x14ac:dyDescent="0.2">
      <c r="A1839" s="43"/>
      <c r="B1839" s="42" t="str">
        <f>IFERROR(AVERAGE(Data!B1841), "  ")</f>
        <v xml:space="preserve">  </v>
      </c>
      <c r="C1839" s="42" t="str">
        <f>IFERROR(AVERAGE(Data!C1841), "  ")</f>
        <v xml:space="preserve">  </v>
      </c>
      <c r="D1839" s="42" t="str">
        <f>IFERROR(AVERAGE(Data!D1841), "  ")</f>
        <v xml:space="preserve">  </v>
      </c>
      <c r="E1839" s="42" t="str">
        <f>IFERROR(AVERAGE(Data!E1841), "  ")</f>
        <v xml:space="preserve">  </v>
      </c>
      <c r="F1839" s="42" t="str">
        <f>IFERROR(AVERAGE(Data!F1841), "  ")</f>
        <v xml:space="preserve">  </v>
      </c>
      <c r="G1839" s="42" t="str">
        <f>IFERROR(AVERAGE(Data!G1841), "  ")</f>
        <v xml:space="preserve">  </v>
      </c>
      <c r="H1839" s="44" t="str">
        <f>IFERROR(AVERAGE(Data!H1841), "  ")</f>
        <v xml:space="preserve">  </v>
      </c>
      <c r="I1839" s="44" t="str">
        <f>IFERROR(AVERAGE(Data!I1841), "  ")</f>
        <v xml:space="preserve">  </v>
      </c>
      <c r="J1839" s="42" t="str">
        <f>IFERROR(AVERAGE(Data!J1841), "  ")</f>
        <v xml:space="preserve">  </v>
      </c>
      <c r="K1839" s="44" t="str">
        <f>IFERROR(AVERAGE(Data!K1841), "  ")</f>
        <v xml:space="preserve">  </v>
      </c>
      <c r="L1839" s="45" t="str">
        <f>IFERROR(AVERAGE(Data!L1841), "  ")</f>
        <v xml:space="preserve">  </v>
      </c>
    </row>
    <row r="1840" spans="1:12" x14ac:dyDescent="0.2">
      <c r="A1840" s="43"/>
      <c r="H1840" s="44"/>
      <c r="I1840" s="44"/>
      <c r="K1840" s="44"/>
    </row>
    <row r="1841" spans="1:11" x14ac:dyDescent="0.2">
      <c r="A1841" s="43"/>
      <c r="H1841" s="44"/>
      <c r="I1841" s="44"/>
      <c r="K1841" s="44"/>
    </row>
    <row r="1842" spans="1:11" x14ac:dyDescent="0.2">
      <c r="A1842" s="43"/>
      <c r="H1842" s="44"/>
      <c r="I1842" s="44"/>
      <c r="K1842" s="44"/>
    </row>
    <row r="1843" spans="1:11" x14ac:dyDescent="0.2">
      <c r="A1843" s="43"/>
      <c r="H1843" s="44"/>
      <c r="I1843" s="44"/>
      <c r="K1843" s="44"/>
    </row>
    <row r="1844" spans="1:11" x14ac:dyDescent="0.2">
      <c r="A1844" s="43"/>
      <c r="H1844" s="44"/>
      <c r="I1844" s="44"/>
      <c r="K1844" s="44"/>
    </row>
    <row r="1845" spans="1:11" x14ac:dyDescent="0.2">
      <c r="A1845" s="43"/>
      <c r="H1845" s="44"/>
      <c r="I1845" s="44"/>
      <c r="K1845" s="44"/>
    </row>
    <row r="1846" spans="1:11" x14ac:dyDescent="0.2">
      <c r="A1846" s="43"/>
      <c r="H1846" s="44"/>
      <c r="I1846" s="44"/>
      <c r="K1846" s="44"/>
    </row>
    <row r="1847" spans="1:11" x14ac:dyDescent="0.2">
      <c r="A1847" s="43"/>
      <c r="H1847" s="44"/>
      <c r="I1847" s="44"/>
      <c r="K1847" s="44"/>
    </row>
    <row r="1848" spans="1:11" x14ac:dyDescent="0.2">
      <c r="A1848" s="43"/>
      <c r="H1848" s="44"/>
      <c r="I1848" s="44"/>
      <c r="K1848" s="44"/>
    </row>
    <row r="1849" spans="1:11" x14ac:dyDescent="0.2">
      <c r="A1849" s="43"/>
      <c r="H1849" s="44"/>
      <c r="I1849" s="44"/>
      <c r="K1849" s="44"/>
    </row>
    <row r="1850" spans="1:11" x14ac:dyDescent="0.2">
      <c r="A1850" s="43"/>
      <c r="H1850" s="44"/>
      <c r="I1850" s="44"/>
      <c r="K1850" s="44"/>
    </row>
    <row r="1851" spans="1:11" x14ac:dyDescent="0.2">
      <c r="A1851" s="43"/>
      <c r="H1851" s="44"/>
      <c r="I1851" s="44"/>
      <c r="K1851" s="44"/>
    </row>
    <row r="1852" spans="1:11" x14ac:dyDescent="0.2">
      <c r="A1852" s="43"/>
      <c r="H1852" s="44"/>
      <c r="I1852" s="44"/>
      <c r="K1852" s="44"/>
    </row>
    <row r="1853" spans="1:11" x14ac:dyDescent="0.2">
      <c r="A1853" s="43"/>
      <c r="H1853" s="44"/>
      <c r="I1853" s="44"/>
      <c r="K1853" s="44"/>
    </row>
    <row r="1854" spans="1:11" x14ac:dyDescent="0.2">
      <c r="A1854" s="43"/>
      <c r="H1854" s="44"/>
      <c r="I1854" s="44"/>
      <c r="K1854" s="44"/>
    </row>
    <row r="1855" spans="1:11" x14ac:dyDescent="0.2">
      <c r="A1855" s="43"/>
      <c r="H1855" s="44"/>
      <c r="I1855" s="44"/>
      <c r="K1855" s="44"/>
    </row>
    <row r="1856" spans="1:11" x14ac:dyDescent="0.2">
      <c r="A1856" s="43"/>
      <c r="H1856" s="44"/>
      <c r="I1856" s="44"/>
      <c r="K1856" s="44"/>
    </row>
    <row r="1857" spans="1:11" x14ac:dyDescent="0.2">
      <c r="A1857" s="43"/>
      <c r="H1857" s="44"/>
      <c r="I1857" s="44"/>
      <c r="K1857" s="44"/>
    </row>
    <row r="1858" spans="1:11" x14ac:dyDescent="0.2">
      <c r="A1858" s="43"/>
      <c r="H1858" s="44"/>
      <c r="I1858" s="44"/>
      <c r="K1858" s="44"/>
    </row>
    <row r="1859" spans="1:11" x14ac:dyDescent="0.2">
      <c r="A1859" s="43"/>
      <c r="H1859" s="44"/>
      <c r="I1859" s="44"/>
      <c r="K1859" s="44"/>
    </row>
    <row r="1860" spans="1:11" x14ac:dyDescent="0.2">
      <c r="A1860" s="43"/>
      <c r="H1860" s="44"/>
      <c r="I1860" s="44"/>
      <c r="K1860" s="44"/>
    </row>
    <row r="1861" spans="1:11" x14ac:dyDescent="0.2">
      <c r="A1861" s="43"/>
      <c r="H1861" s="44"/>
      <c r="I1861" s="44"/>
      <c r="K1861" s="44"/>
    </row>
    <row r="1862" spans="1:11" x14ac:dyDescent="0.2">
      <c r="A1862" s="43"/>
      <c r="H1862" s="44"/>
      <c r="I1862" s="44"/>
      <c r="K1862" s="44"/>
    </row>
    <row r="1863" spans="1:11" x14ac:dyDescent="0.2">
      <c r="A1863" s="43"/>
      <c r="H1863" s="44"/>
      <c r="I1863" s="44"/>
      <c r="K1863" s="44"/>
    </row>
    <row r="1864" spans="1:11" x14ac:dyDescent="0.2">
      <c r="A1864" s="43"/>
      <c r="H1864" s="44"/>
      <c r="I1864" s="44"/>
      <c r="K1864" s="44"/>
    </row>
    <row r="1865" spans="1:11" x14ac:dyDescent="0.2">
      <c r="A1865" s="43"/>
      <c r="H1865" s="44"/>
      <c r="I1865" s="44"/>
      <c r="K1865" s="44"/>
    </row>
    <row r="1866" spans="1:11" x14ac:dyDescent="0.2">
      <c r="A1866" s="43"/>
      <c r="H1866" s="44"/>
      <c r="I1866" s="44"/>
      <c r="K1866" s="44"/>
    </row>
    <row r="1867" spans="1:11" x14ac:dyDescent="0.2">
      <c r="A1867" s="43"/>
      <c r="H1867" s="44"/>
      <c r="I1867" s="44"/>
      <c r="K1867" s="44"/>
    </row>
    <row r="1868" spans="1:11" x14ac:dyDescent="0.2">
      <c r="A1868" s="43"/>
      <c r="H1868" s="44"/>
      <c r="I1868" s="44"/>
      <c r="K1868" s="44"/>
    </row>
    <row r="1869" spans="1:11" x14ac:dyDescent="0.2">
      <c r="A1869" s="43"/>
      <c r="H1869" s="44"/>
      <c r="I1869" s="44"/>
      <c r="K1869" s="44"/>
    </row>
    <row r="1870" spans="1:11" x14ac:dyDescent="0.2">
      <c r="A1870" s="43"/>
      <c r="H1870" s="44"/>
      <c r="I1870" s="44"/>
      <c r="K1870" s="44"/>
    </row>
    <row r="1871" spans="1:11" x14ac:dyDescent="0.2">
      <c r="A1871" s="43"/>
      <c r="H1871" s="44"/>
      <c r="I1871" s="44"/>
      <c r="K1871" s="44"/>
    </row>
    <row r="1872" spans="1:11" x14ac:dyDescent="0.2">
      <c r="A1872" s="43"/>
      <c r="H1872" s="44"/>
      <c r="I1872" s="44"/>
      <c r="K1872" s="44"/>
    </row>
    <row r="1873" spans="1:11" x14ac:dyDescent="0.2">
      <c r="A1873" s="43"/>
      <c r="H1873" s="44"/>
      <c r="I1873" s="44"/>
      <c r="K1873" s="44"/>
    </row>
    <row r="1874" spans="1:11" x14ac:dyDescent="0.2">
      <c r="A1874" s="43"/>
      <c r="H1874" s="44"/>
      <c r="I1874" s="44"/>
      <c r="K1874" s="44"/>
    </row>
    <row r="1875" spans="1:11" x14ac:dyDescent="0.2">
      <c r="A1875" s="43"/>
      <c r="H1875" s="44"/>
      <c r="I1875" s="44"/>
      <c r="K1875" s="44"/>
    </row>
    <row r="1876" spans="1:11" x14ac:dyDescent="0.2">
      <c r="A1876" s="43"/>
      <c r="H1876" s="44"/>
      <c r="I1876" s="44"/>
      <c r="K1876" s="44"/>
    </row>
    <row r="1877" spans="1:11" x14ac:dyDescent="0.2">
      <c r="A1877" s="43"/>
      <c r="H1877" s="44"/>
      <c r="I1877" s="44"/>
      <c r="K1877" s="44"/>
    </row>
    <row r="1878" spans="1:11" x14ac:dyDescent="0.2">
      <c r="A1878" s="43"/>
      <c r="H1878" s="44"/>
      <c r="I1878" s="44"/>
      <c r="K1878" s="44"/>
    </row>
    <row r="1879" spans="1:11" x14ac:dyDescent="0.2">
      <c r="A1879" s="43"/>
      <c r="H1879" s="44"/>
      <c r="I1879" s="44"/>
      <c r="K1879" s="44"/>
    </row>
    <row r="1880" spans="1:11" x14ac:dyDescent="0.2">
      <c r="A1880" s="43"/>
      <c r="H1880" s="44"/>
      <c r="I1880" s="44"/>
      <c r="K1880" s="44"/>
    </row>
    <row r="1881" spans="1:11" x14ac:dyDescent="0.2">
      <c r="A1881" s="43"/>
      <c r="H1881" s="44"/>
      <c r="I1881" s="44"/>
      <c r="K1881" s="44"/>
    </row>
    <row r="1882" spans="1:11" x14ac:dyDescent="0.2">
      <c r="A1882" s="43"/>
      <c r="H1882" s="44"/>
      <c r="I1882" s="44"/>
      <c r="K1882" s="44"/>
    </row>
    <row r="1883" spans="1:11" x14ac:dyDescent="0.2">
      <c r="A1883" s="43"/>
      <c r="H1883" s="44"/>
      <c r="I1883" s="44"/>
      <c r="K1883" s="44"/>
    </row>
    <row r="1884" spans="1:11" x14ac:dyDescent="0.2">
      <c r="A1884" s="43"/>
      <c r="H1884" s="44"/>
      <c r="I1884" s="44"/>
      <c r="K1884" s="44"/>
    </row>
    <row r="1885" spans="1:11" x14ac:dyDescent="0.2">
      <c r="A1885" s="43"/>
      <c r="H1885" s="44"/>
      <c r="I1885" s="44"/>
      <c r="K1885" s="44"/>
    </row>
    <row r="1886" spans="1:11" x14ac:dyDescent="0.2">
      <c r="A1886" s="43"/>
      <c r="H1886" s="44"/>
      <c r="I1886" s="44"/>
      <c r="K1886" s="44"/>
    </row>
    <row r="1887" spans="1:11" x14ac:dyDescent="0.2">
      <c r="A1887" s="43"/>
      <c r="H1887" s="44"/>
      <c r="I1887" s="44"/>
      <c r="K1887" s="44"/>
    </row>
    <row r="1888" spans="1:11" x14ac:dyDescent="0.2">
      <c r="A1888" s="43"/>
      <c r="H1888" s="44"/>
      <c r="I1888" s="44"/>
      <c r="K1888" s="44"/>
    </row>
    <row r="1889" spans="1:11" x14ac:dyDescent="0.2">
      <c r="A1889" s="43"/>
      <c r="H1889" s="44"/>
      <c r="I1889" s="44"/>
      <c r="K1889" s="44"/>
    </row>
    <row r="1890" spans="1:11" x14ac:dyDescent="0.2">
      <c r="A1890" s="43"/>
      <c r="H1890" s="44"/>
      <c r="I1890" s="44"/>
      <c r="K1890" s="44"/>
    </row>
    <row r="1891" spans="1:11" x14ac:dyDescent="0.2">
      <c r="A1891" s="43"/>
      <c r="H1891" s="44"/>
      <c r="I1891" s="44"/>
      <c r="K1891" s="44"/>
    </row>
    <row r="1892" spans="1:11" x14ac:dyDescent="0.2">
      <c r="A1892" s="43"/>
      <c r="H1892" s="44"/>
      <c r="I1892" s="44"/>
      <c r="K1892" s="44"/>
    </row>
    <row r="1893" spans="1:11" x14ac:dyDescent="0.2">
      <c r="A1893" s="43"/>
      <c r="H1893" s="44"/>
      <c r="I1893" s="44"/>
      <c r="K1893" s="44"/>
    </row>
    <row r="1894" spans="1:11" x14ac:dyDescent="0.2">
      <c r="A1894" s="43"/>
      <c r="H1894" s="44"/>
      <c r="I1894" s="44"/>
      <c r="K1894" s="44"/>
    </row>
    <row r="1895" spans="1:11" x14ac:dyDescent="0.2">
      <c r="A1895" s="43"/>
      <c r="H1895" s="44"/>
      <c r="I1895" s="44"/>
      <c r="K1895" s="44"/>
    </row>
    <row r="1896" spans="1:11" x14ac:dyDescent="0.2">
      <c r="A1896" s="43"/>
      <c r="H1896" s="44"/>
      <c r="I1896" s="44"/>
      <c r="K1896" s="44"/>
    </row>
    <row r="1897" spans="1:11" x14ac:dyDescent="0.2">
      <c r="A1897" s="43"/>
      <c r="H1897" s="44"/>
      <c r="I1897" s="44"/>
      <c r="K1897" s="44"/>
    </row>
    <row r="1898" spans="1:11" x14ac:dyDescent="0.2">
      <c r="A1898" s="43"/>
      <c r="H1898" s="44"/>
      <c r="I1898" s="44"/>
      <c r="K1898" s="44"/>
    </row>
    <row r="1899" spans="1:11" x14ac:dyDescent="0.2">
      <c r="A1899" s="43"/>
      <c r="H1899" s="44"/>
      <c r="I1899" s="44"/>
      <c r="K1899" s="44"/>
    </row>
    <row r="1900" spans="1:11" x14ac:dyDescent="0.2">
      <c r="A1900" s="43"/>
      <c r="H1900" s="44"/>
      <c r="I1900" s="44"/>
      <c r="K1900" s="44"/>
    </row>
    <row r="1901" spans="1:11" x14ac:dyDescent="0.2">
      <c r="A1901" s="43"/>
      <c r="H1901" s="44"/>
      <c r="I1901" s="44"/>
      <c r="K1901" s="44"/>
    </row>
    <row r="1902" spans="1:11" x14ac:dyDescent="0.2">
      <c r="A1902" s="43"/>
      <c r="H1902" s="44"/>
      <c r="I1902" s="44"/>
      <c r="K1902" s="44"/>
    </row>
    <row r="1903" spans="1:11" x14ac:dyDescent="0.2">
      <c r="A1903" s="43"/>
      <c r="H1903" s="44"/>
      <c r="I1903" s="44"/>
      <c r="K1903" s="44"/>
    </row>
    <row r="1904" spans="1:11" x14ac:dyDescent="0.2">
      <c r="A1904" s="43"/>
      <c r="H1904" s="44"/>
      <c r="I1904" s="44"/>
      <c r="K1904" s="44"/>
    </row>
    <row r="1905" spans="1:11" x14ac:dyDescent="0.2">
      <c r="A1905" s="43"/>
      <c r="H1905" s="44"/>
      <c r="I1905" s="44"/>
      <c r="K1905" s="44"/>
    </row>
    <row r="1906" spans="1:11" x14ac:dyDescent="0.2">
      <c r="A1906" s="43"/>
      <c r="H1906" s="44"/>
      <c r="I1906" s="44"/>
      <c r="K1906" s="44"/>
    </row>
    <row r="1907" spans="1:11" x14ac:dyDescent="0.2">
      <c r="A1907" s="43"/>
      <c r="H1907" s="44"/>
      <c r="I1907" s="44"/>
      <c r="K1907" s="44"/>
    </row>
    <row r="1908" spans="1:11" x14ac:dyDescent="0.2">
      <c r="A1908" s="43"/>
      <c r="H1908" s="44"/>
      <c r="I1908" s="44"/>
      <c r="K1908" s="44"/>
    </row>
    <row r="1909" spans="1:11" x14ac:dyDescent="0.2">
      <c r="A1909" s="43"/>
      <c r="H1909" s="44"/>
      <c r="I1909" s="44"/>
      <c r="K1909" s="44"/>
    </row>
    <row r="1910" spans="1:11" x14ac:dyDescent="0.2">
      <c r="A1910" s="43"/>
      <c r="H1910" s="44"/>
      <c r="I1910" s="44"/>
      <c r="K1910" s="44"/>
    </row>
    <row r="1911" spans="1:11" x14ac:dyDescent="0.2">
      <c r="A1911" s="43"/>
      <c r="H1911" s="44"/>
      <c r="I1911" s="44"/>
      <c r="K1911" s="44"/>
    </row>
    <row r="1912" spans="1:11" x14ac:dyDescent="0.2">
      <c r="A1912" s="43"/>
      <c r="H1912" s="44"/>
      <c r="I1912" s="44"/>
      <c r="K1912" s="44"/>
    </row>
    <row r="1913" spans="1:11" x14ac:dyDescent="0.2">
      <c r="A1913" s="43"/>
      <c r="H1913" s="44"/>
      <c r="I1913" s="44"/>
      <c r="K1913" s="44"/>
    </row>
    <row r="1914" spans="1:11" x14ac:dyDescent="0.2">
      <c r="A1914" s="43"/>
      <c r="H1914" s="44"/>
      <c r="I1914" s="44"/>
      <c r="K1914" s="44"/>
    </row>
    <row r="1915" spans="1:11" x14ac:dyDescent="0.2">
      <c r="A1915" s="43"/>
      <c r="H1915" s="44"/>
      <c r="I1915" s="44"/>
      <c r="K1915" s="44"/>
    </row>
    <row r="1916" spans="1:11" x14ac:dyDescent="0.2">
      <c r="A1916" s="43"/>
      <c r="H1916" s="44"/>
      <c r="I1916" s="44"/>
      <c r="K1916" s="44"/>
    </row>
    <row r="1917" spans="1:11" x14ac:dyDescent="0.2">
      <c r="A1917" s="43"/>
      <c r="H1917" s="44"/>
      <c r="I1917" s="44"/>
      <c r="K1917" s="44"/>
    </row>
    <row r="1918" spans="1:11" x14ac:dyDescent="0.2">
      <c r="A1918" s="43"/>
      <c r="H1918" s="44"/>
      <c r="I1918" s="44"/>
      <c r="K1918" s="44"/>
    </row>
    <row r="1919" spans="1:11" x14ac:dyDescent="0.2">
      <c r="A1919" s="43"/>
      <c r="H1919" s="44"/>
      <c r="I1919" s="44"/>
      <c r="K1919" s="44"/>
    </row>
    <row r="1920" spans="1:11" x14ac:dyDescent="0.2">
      <c r="A1920" s="43"/>
      <c r="H1920" s="44"/>
      <c r="I1920" s="44"/>
      <c r="K1920" s="44"/>
    </row>
    <row r="1921" spans="1:11" x14ac:dyDescent="0.2">
      <c r="A1921" s="43"/>
      <c r="H1921" s="44"/>
      <c r="I1921" s="44"/>
      <c r="K1921" s="44"/>
    </row>
    <row r="1922" spans="1:11" x14ac:dyDescent="0.2">
      <c r="A1922" s="43"/>
      <c r="H1922" s="44"/>
      <c r="I1922" s="44"/>
      <c r="K1922" s="44"/>
    </row>
    <row r="1923" spans="1:11" x14ac:dyDescent="0.2">
      <c r="A1923" s="43"/>
      <c r="H1923" s="44"/>
      <c r="I1923" s="44"/>
      <c r="K1923" s="44"/>
    </row>
    <row r="1924" spans="1:11" x14ac:dyDescent="0.2">
      <c r="A1924" s="43"/>
      <c r="H1924" s="44"/>
      <c r="I1924" s="44"/>
      <c r="K1924" s="44"/>
    </row>
    <row r="1925" spans="1:11" x14ac:dyDescent="0.2">
      <c r="A1925" s="43"/>
      <c r="H1925" s="44"/>
      <c r="I1925" s="44"/>
      <c r="K1925" s="44"/>
    </row>
    <row r="1926" spans="1:11" x14ac:dyDescent="0.2">
      <c r="A1926" s="43"/>
      <c r="H1926" s="44"/>
      <c r="I1926" s="44"/>
      <c r="K1926" s="44"/>
    </row>
    <row r="1927" spans="1:11" x14ac:dyDescent="0.2">
      <c r="A1927" s="43"/>
      <c r="H1927" s="44"/>
      <c r="I1927" s="44"/>
      <c r="K1927" s="44"/>
    </row>
    <row r="1928" spans="1:11" x14ac:dyDescent="0.2">
      <c r="A1928" s="43"/>
      <c r="H1928" s="44"/>
      <c r="I1928" s="44"/>
      <c r="K1928" s="44"/>
    </row>
    <row r="1929" spans="1:11" x14ac:dyDescent="0.2">
      <c r="A1929" s="43"/>
      <c r="H1929" s="44"/>
      <c r="I1929" s="44"/>
      <c r="K1929" s="44"/>
    </row>
    <row r="1930" spans="1:11" x14ac:dyDescent="0.2">
      <c r="A1930" s="43"/>
      <c r="H1930" s="44"/>
      <c r="I1930" s="44"/>
      <c r="K1930" s="44"/>
    </row>
    <row r="1931" spans="1:11" x14ac:dyDescent="0.2">
      <c r="A1931" s="43"/>
      <c r="H1931" s="44"/>
      <c r="I1931" s="44"/>
      <c r="K1931" s="44"/>
    </row>
    <row r="1932" spans="1:11" x14ac:dyDescent="0.2">
      <c r="A1932" s="43"/>
      <c r="H1932" s="44"/>
      <c r="I1932" s="44"/>
      <c r="K1932" s="44"/>
    </row>
    <row r="1933" spans="1:11" x14ac:dyDescent="0.2">
      <c r="A1933" s="43"/>
      <c r="H1933" s="44"/>
      <c r="I1933" s="44"/>
      <c r="K1933" s="44"/>
    </row>
    <row r="1934" spans="1:11" x14ac:dyDescent="0.2">
      <c r="A1934" s="43"/>
      <c r="H1934" s="44"/>
      <c r="I1934" s="44"/>
      <c r="K1934" s="44"/>
    </row>
    <row r="1935" spans="1:11" x14ac:dyDescent="0.2">
      <c r="A1935" s="43"/>
      <c r="H1935" s="44"/>
      <c r="I1935" s="44"/>
      <c r="K1935" s="44"/>
    </row>
    <row r="1936" spans="1:11" x14ac:dyDescent="0.2">
      <c r="A1936" s="43"/>
      <c r="H1936" s="44"/>
      <c r="I1936" s="44"/>
      <c r="K1936" s="44"/>
    </row>
    <row r="1937" spans="1:11" x14ac:dyDescent="0.2">
      <c r="A1937" s="43"/>
      <c r="H1937" s="44"/>
      <c r="I1937" s="44"/>
      <c r="K1937" s="44"/>
    </row>
    <row r="1938" spans="1:11" x14ac:dyDescent="0.2">
      <c r="A1938" s="43"/>
      <c r="H1938" s="44"/>
      <c r="I1938" s="44"/>
      <c r="K1938" s="44"/>
    </row>
    <row r="1939" spans="1:11" x14ac:dyDescent="0.2">
      <c r="A1939" s="43"/>
      <c r="H1939" s="44"/>
      <c r="I1939" s="44"/>
      <c r="K1939" s="44"/>
    </row>
    <row r="1940" spans="1:11" x14ac:dyDescent="0.2">
      <c r="A1940" s="43"/>
      <c r="H1940" s="44"/>
      <c r="I1940" s="44"/>
      <c r="K1940" s="44"/>
    </row>
    <row r="1941" spans="1:11" x14ac:dyDescent="0.2">
      <c r="A1941" s="43"/>
      <c r="H1941" s="44"/>
      <c r="I1941" s="44"/>
      <c r="K1941" s="44"/>
    </row>
    <row r="1942" spans="1:11" x14ac:dyDescent="0.2">
      <c r="A1942" s="43"/>
      <c r="H1942" s="44"/>
      <c r="I1942" s="44"/>
      <c r="K1942" s="44"/>
    </row>
    <row r="1943" spans="1:11" x14ac:dyDescent="0.2">
      <c r="A1943" s="43"/>
      <c r="H1943" s="44"/>
      <c r="I1943" s="44"/>
      <c r="K1943" s="44"/>
    </row>
    <row r="1944" spans="1:11" x14ac:dyDescent="0.2">
      <c r="A1944" s="43"/>
      <c r="H1944" s="44"/>
      <c r="I1944" s="44"/>
      <c r="K1944" s="44"/>
    </row>
    <row r="1945" spans="1:11" x14ac:dyDescent="0.2">
      <c r="A1945" s="43"/>
      <c r="H1945" s="44"/>
      <c r="I1945" s="44"/>
      <c r="K1945" s="44"/>
    </row>
    <row r="1946" spans="1:11" x14ac:dyDescent="0.2">
      <c r="A1946" s="43"/>
      <c r="H1946" s="44"/>
      <c r="I1946" s="44"/>
      <c r="K1946" s="44"/>
    </row>
    <row r="1947" spans="1:11" x14ac:dyDescent="0.2">
      <c r="A1947" s="43"/>
      <c r="H1947" s="44"/>
      <c r="I1947" s="44"/>
      <c r="K1947" s="44"/>
    </row>
    <row r="1948" spans="1:11" x14ac:dyDescent="0.2">
      <c r="A1948" s="43"/>
      <c r="H1948" s="44"/>
      <c r="I1948" s="44"/>
      <c r="K1948" s="44"/>
    </row>
    <row r="1949" spans="1:11" x14ac:dyDescent="0.2">
      <c r="A1949" s="43"/>
      <c r="H1949" s="44"/>
      <c r="I1949" s="44"/>
      <c r="K1949" s="44"/>
    </row>
    <row r="1950" spans="1:11" x14ac:dyDescent="0.2">
      <c r="A1950" s="43"/>
      <c r="H1950" s="44"/>
      <c r="I1950" s="44"/>
      <c r="K1950" s="44"/>
    </row>
    <row r="1951" spans="1:11" x14ac:dyDescent="0.2">
      <c r="A1951" s="43"/>
      <c r="H1951" s="44"/>
      <c r="I1951" s="44"/>
      <c r="K1951" s="44"/>
    </row>
    <row r="1952" spans="1:11" x14ac:dyDescent="0.2">
      <c r="A1952" s="43"/>
      <c r="H1952" s="44"/>
      <c r="I1952" s="44"/>
      <c r="K1952" s="44"/>
    </row>
    <row r="1953" spans="1:11" x14ac:dyDescent="0.2">
      <c r="A1953" s="43"/>
      <c r="H1953" s="44"/>
      <c r="I1953" s="44"/>
      <c r="K1953" s="44"/>
    </row>
    <row r="1954" spans="1:11" x14ac:dyDescent="0.2">
      <c r="A1954" s="43"/>
      <c r="H1954" s="44"/>
      <c r="I1954" s="44"/>
      <c r="K1954" s="44"/>
    </row>
    <row r="1955" spans="1:11" x14ac:dyDescent="0.2">
      <c r="A1955" s="43"/>
      <c r="H1955" s="44"/>
      <c r="I1955" s="44"/>
      <c r="K1955" s="44"/>
    </row>
    <row r="1956" spans="1:11" x14ac:dyDescent="0.2">
      <c r="A1956" s="43"/>
      <c r="H1956" s="44"/>
      <c r="I1956" s="44"/>
      <c r="K1956" s="44"/>
    </row>
    <row r="1957" spans="1:11" x14ac:dyDescent="0.2">
      <c r="A1957" s="43"/>
      <c r="H1957" s="44"/>
      <c r="I1957" s="44"/>
      <c r="K1957" s="44"/>
    </row>
    <row r="1958" spans="1:11" x14ac:dyDescent="0.2">
      <c r="A1958" s="43"/>
      <c r="H1958" s="44"/>
      <c r="I1958" s="44"/>
      <c r="K1958" s="44"/>
    </row>
    <row r="1959" spans="1:11" x14ac:dyDescent="0.2">
      <c r="A1959" s="43"/>
      <c r="H1959" s="44"/>
      <c r="I1959" s="44"/>
      <c r="K1959" s="44"/>
    </row>
    <row r="1960" spans="1:11" x14ac:dyDescent="0.2">
      <c r="A1960" s="43"/>
      <c r="H1960" s="44"/>
      <c r="I1960" s="44"/>
      <c r="K1960" s="44"/>
    </row>
    <row r="1961" spans="1:11" x14ac:dyDescent="0.2">
      <c r="A1961" s="43"/>
      <c r="H1961" s="44"/>
      <c r="I1961" s="44"/>
      <c r="K1961" s="44"/>
    </row>
    <row r="1962" spans="1:11" x14ac:dyDescent="0.2">
      <c r="A1962" s="43"/>
      <c r="H1962" s="44"/>
      <c r="I1962" s="44"/>
      <c r="K1962" s="44"/>
    </row>
    <row r="1963" spans="1:11" x14ac:dyDescent="0.2">
      <c r="A1963" s="43"/>
      <c r="H1963" s="44"/>
      <c r="I1963" s="44"/>
      <c r="K1963" s="44"/>
    </row>
    <row r="1964" spans="1:11" x14ac:dyDescent="0.2">
      <c r="A1964" s="43"/>
      <c r="H1964" s="44"/>
      <c r="I1964" s="44"/>
      <c r="K1964" s="44"/>
    </row>
    <row r="1965" spans="1:11" x14ac:dyDescent="0.2">
      <c r="A1965" s="43"/>
      <c r="H1965" s="44"/>
      <c r="I1965" s="44"/>
      <c r="K1965" s="44"/>
    </row>
    <row r="1966" spans="1:11" x14ac:dyDescent="0.2">
      <c r="A1966" s="43"/>
      <c r="H1966" s="44"/>
      <c r="I1966" s="44"/>
      <c r="K1966" s="44"/>
    </row>
    <row r="1967" spans="1:11" x14ac:dyDescent="0.2">
      <c r="A1967" s="43"/>
      <c r="H1967" s="44"/>
      <c r="I1967" s="44"/>
      <c r="K1967" s="44"/>
    </row>
    <row r="1968" spans="1:11" x14ac:dyDescent="0.2">
      <c r="A1968" s="43"/>
      <c r="H1968" s="44"/>
      <c r="I1968" s="44"/>
      <c r="K1968" s="44"/>
    </row>
    <row r="1969" spans="1:11" x14ac:dyDescent="0.2">
      <c r="A1969" s="43"/>
      <c r="H1969" s="44"/>
      <c r="I1969" s="44"/>
      <c r="K1969" s="44"/>
    </row>
    <row r="1970" spans="1:11" x14ac:dyDescent="0.2">
      <c r="A1970" s="43"/>
      <c r="H1970" s="44"/>
      <c r="I1970" s="44"/>
      <c r="K1970" s="44"/>
    </row>
    <row r="1971" spans="1:11" x14ac:dyDescent="0.2">
      <c r="A1971" s="43"/>
      <c r="H1971" s="44"/>
      <c r="I1971" s="44"/>
      <c r="K1971" s="44"/>
    </row>
    <row r="1972" spans="1:11" x14ac:dyDescent="0.2">
      <c r="A1972" s="43"/>
      <c r="H1972" s="44"/>
      <c r="I1972" s="44"/>
      <c r="K1972" s="44"/>
    </row>
    <row r="1973" spans="1:11" x14ac:dyDescent="0.2">
      <c r="A1973" s="43"/>
      <c r="H1973" s="44"/>
      <c r="I1973" s="44"/>
      <c r="K1973" s="44"/>
    </row>
    <row r="1974" spans="1:11" x14ac:dyDescent="0.2">
      <c r="A1974" s="43"/>
      <c r="H1974" s="44"/>
      <c r="I1974" s="44"/>
      <c r="K1974" s="44"/>
    </row>
    <row r="1975" spans="1:11" x14ac:dyDescent="0.2">
      <c r="A1975" s="43"/>
      <c r="H1975" s="44"/>
      <c r="I1975" s="44"/>
      <c r="K1975" s="44"/>
    </row>
    <row r="1976" spans="1:11" x14ac:dyDescent="0.2">
      <c r="A1976" s="43"/>
      <c r="H1976" s="44"/>
      <c r="I1976" s="44"/>
      <c r="K1976" s="44"/>
    </row>
    <row r="1977" spans="1:11" x14ac:dyDescent="0.2">
      <c r="A1977" s="43"/>
      <c r="H1977" s="44"/>
      <c r="I1977" s="44"/>
      <c r="K1977" s="44"/>
    </row>
    <row r="1978" spans="1:11" x14ac:dyDescent="0.2">
      <c r="A1978" s="43"/>
      <c r="H1978" s="44"/>
      <c r="I1978" s="44"/>
      <c r="K1978" s="44"/>
    </row>
    <row r="1979" spans="1:11" x14ac:dyDescent="0.2">
      <c r="A1979" s="43"/>
      <c r="H1979" s="44"/>
      <c r="I1979" s="44"/>
      <c r="K1979" s="44"/>
    </row>
    <row r="1980" spans="1:11" x14ac:dyDescent="0.2">
      <c r="A1980" s="43"/>
      <c r="H1980" s="44"/>
      <c r="I1980" s="44"/>
      <c r="K1980" s="44"/>
    </row>
    <row r="1981" spans="1:11" x14ac:dyDescent="0.2">
      <c r="A1981" s="43"/>
      <c r="H1981" s="44"/>
      <c r="I1981" s="44"/>
      <c r="K1981" s="44"/>
    </row>
    <row r="1982" spans="1:11" x14ac:dyDescent="0.2">
      <c r="A1982" s="43"/>
      <c r="H1982" s="44"/>
      <c r="I1982" s="44"/>
      <c r="K1982" s="44"/>
    </row>
    <row r="1983" spans="1:11" x14ac:dyDescent="0.2">
      <c r="A1983" s="43"/>
      <c r="H1983" s="44"/>
      <c r="I1983" s="44"/>
      <c r="K1983" s="44"/>
    </row>
    <row r="1984" spans="1:11" x14ac:dyDescent="0.2">
      <c r="A1984" s="43"/>
      <c r="H1984" s="44"/>
      <c r="I1984" s="44"/>
      <c r="K1984" s="44"/>
    </row>
    <row r="1985" spans="1:11" x14ac:dyDescent="0.2">
      <c r="A1985" s="43"/>
      <c r="H1985" s="44"/>
      <c r="I1985" s="44"/>
      <c r="K1985" s="44"/>
    </row>
    <row r="1986" spans="1:11" x14ac:dyDescent="0.2">
      <c r="A1986" s="43"/>
      <c r="H1986" s="44"/>
      <c r="I1986" s="44"/>
      <c r="K1986" s="44"/>
    </row>
    <row r="1987" spans="1:11" x14ac:dyDescent="0.2">
      <c r="A1987" s="43"/>
      <c r="H1987" s="44"/>
      <c r="I1987" s="44"/>
      <c r="K1987" s="44"/>
    </row>
    <row r="1988" spans="1:11" x14ac:dyDescent="0.2">
      <c r="A1988" s="43"/>
      <c r="H1988" s="44"/>
      <c r="I1988" s="44"/>
      <c r="K1988" s="44"/>
    </row>
    <row r="1989" spans="1:11" x14ac:dyDescent="0.2">
      <c r="A1989" s="43"/>
      <c r="H1989" s="44"/>
      <c r="I1989" s="44"/>
      <c r="K1989" s="44"/>
    </row>
    <row r="1990" spans="1:11" x14ac:dyDescent="0.2">
      <c r="A1990" s="43"/>
      <c r="H1990" s="44"/>
      <c r="I1990" s="44"/>
      <c r="K1990" s="44"/>
    </row>
    <row r="1991" spans="1:11" x14ac:dyDescent="0.2">
      <c r="A1991" s="43"/>
      <c r="H1991" s="44"/>
      <c r="I1991" s="44"/>
      <c r="K1991" s="44"/>
    </row>
    <row r="1992" spans="1:11" x14ac:dyDescent="0.2">
      <c r="A1992" s="43"/>
      <c r="H1992" s="44"/>
      <c r="I1992" s="44"/>
      <c r="K1992" s="44"/>
    </row>
    <row r="1993" spans="1:11" x14ac:dyDescent="0.2">
      <c r="A1993" s="43"/>
      <c r="H1993" s="44"/>
      <c r="I1993" s="44"/>
      <c r="K1993" s="44"/>
    </row>
    <row r="1994" spans="1:11" x14ac:dyDescent="0.2">
      <c r="A1994" s="43"/>
      <c r="H1994" s="44"/>
      <c r="I1994" s="44"/>
      <c r="K1994" s="44"/>
    </row>
    <row r="1995" spans="1:11" x14ac:dyDescent="0.2">
      <c r="A1995" s="43"/>
      <c r="H1995" s="44"/>
      <c r="I1995" s="44"/>
      <c r="K1995" s="44"/>
    </row>
    <row r="1996" spans="1:11" x14ac:dyDescent="0.2">
      <c r="A1996" s="43"/>
      <c r="H1996" s="44"/>
      <c r="I1996" s="44"/>
      <c r="K1996" s="44"/>
    </row>
    <row r="1997" spans="1:11" x14ac:dyDescent="0.2">
      <c r="A1997" s="43"/>
      <c r="H1997" s="44"/>
      <c r="I1997" s="44"/>
      <c r="K1997" s="44"/>
    </row>
    <row r="1998" spans="1:11" x14ac:dyDescent="0.2">
      <c r="A1998" s="43"/>
      <c r="H1998" s="44"/>
      <c r="I1998" s="44"/>
      <c r="K1998" s="44"/>
    </row>
    <row r="1999" spans="1:11" x14ac:dyDescent="0.2">
      <c r="A1999" s="43"/>
      <c r="H1999" s="44"/>
      <c r="I1999" s="44"/>
      <c r="K1999" s="44"/>
    </row>
    <row r="2000" spans="1:11" x14ac:dyDescent="0.2">
      <c r="A2000" s="43"/>
      <c r="H2000" s="44"/>
      <c r="I2000" s="44"/>
      <c r="K2000" s="44"/>
    </row>
    <row r="2001" spans="1:11" x14ac:dyDescent="0.2">
      <c r="A2001" s="43"/>
      <c r="H2001" s="44"/>
      <c r="I2001" s="44"/>
      <c r="K2001" s="44"/>
    </row>
    <row r="2002" spans="1:11" x14ac:dyDescent="0.2">
      <c r="A2002" s="43"/>
      <c r="H2002" s="44"/>
      <c r="I2002" s="44"/>
      <c r="K2002" s="44"/>
    </row>
    <row r="2003" spans="1:11" x14ac:dyDescent="0.2">
      <c r="A2003" s="43"/>
      <c r="H2003" s="44"/>
      <c r="I2003" s="44"/>
      <c r="K2003" s="44"/>
    </row>
    <row r="2004" spans="1:11" x14ac:dyDescent="0.2">
      <c r="A2004" s="43"/>
      <c r="H2004" s="44"/>
      <c r="I2004" s="44"/>
      <c r="K2004" s="44"/>
    </row>
    <row r="2005" spans="1:11" x14ac:dyDescent="0.2">
      <c r="A2005" s="43"/>
      <c r="H2005" s="44"/>
      <c r="I2005" s="44"/>
      <c r="K2005" s="44"/>
    </row>
    <row r="2006" spans="1:11" x14ac:dyDescent="0.2">
      <c r="A2006" s="43"/>
      <c r="H2006" s="44"/>
      <c r="I2006" s="44"/>
      <c r="K2006" s="44"/>
    </row>
    <row r="2007" spans="1:11" x14ac:dyDescent="0.2">
      <c r="A2007" s="43"/>
      <c r="H2007" s="44"/>
      <c r="I2007" s="44"/>
      <c r="K2007" s="44"/>
    </row>
    <row r="2008" spans="1:11" x14ac:dyDescent="0.2">
      <c r="A2008" s="43"/>
      <c r="H2008" s="44"/>
      <c r="I2008" s="44"/>
      <c r="K2008" s="44"/>
    </row>
    <row r="2009" spans="1:11" x14ac:dyDescent="0.2">
      <c r="A2009" s="43"/>
      <c r="H2009" s="44"/>
      <c r="I2009" s="44"/>
      <c r="K2009" s="44"/>
    </row>
    <row r="2010" spans="1:11" x14ac:dyDescent="0.2">
      <c r="A2010" s="43"/>
      <c r="H2010" s="44"/>
      <c r="I2010" s="44"/>
      <c r="K2010" s="44"/>
    </row>
    <row r="2011" spans="1:11" x14ac:dyDescent="0.2">
      <c r="A2011" s="43"/>
      <c r="H2011" s="44"/>
      <c r="I2011" s="44"/>
      <c r="K2011" s="44"/>
    </row>
    <row r="2012" spans="1:11" x14ac:dyDescent="0.2">
      <c r="A2012" s="43"/>
      <c r="H2012" s="44"/>
      <c r="I2012" s="44"/>
      <c r="K2012" s="44"/>
    </row>
    <row r="2013" spans="1:11" x14ac:dyDescent="0.2">
      <c r="A2013" s="43"/>
      <c r="H2013" s="44"/>
      <c r="I2013" s="44"/>
      <c r="K2013" s="44"/>
    </row>
    <row r="2014" spans="1:11" x14ac:dyDescent="0.2">
      <c r="A2014" s="43"/>
      <c r="H2014" s="44"/>
      <c r="I2014" s="44"/>
      <c r="K2014" s="44"/>
    </row>
    <row r="2015" spans="1:11" x14ac:dyDescent="0.2">
      <c r="A2015" s="43"/>
      <c r="H2015" s="44"/>
      <c r="I2015" s="44"/>
      <c r="K2015" s="44"/>
    </row>
    <row r="2016" spans="1:11" x14ac:dyDescent="0.2">
      <c r="A2016" s="43"/>
      <c r="H2016" s="44"/>
      <c r="I2016" s="44"/>
      <c r="K2016" s="44"/>
    </row>
    <row r="2017" spans="1:11" x14ac:dyDescent="0.2">
      <c r="A2017" s="43"/>
      <c r="H2017" s="44"/>
      <c r="I2017" s="44"/>
      <c r="K2017" s="44"/>
    </row>
    <row r="2018" spans="1:11" x14ac:dyDescent="0.2">
      <c r="A2018" s="43"/>
      <c r="H2018" s="44"/>
      <c r="I2018" s="44"/>
      <c r="K2018" s="44"/>
    </row>
    <row r="2019" spans="1:11" x14ac:dyDescent="0.2">
      <c r="A2019" s="43"/>
      <c r="H2019" s="44"/>
      <c r="I2019" s="44"/>
      <c r="K2019" s="44"/>
    </row>
    <row r="2020" spans="1:11" x14ac:dyDescent="0.2">
      <c r="A2020" s="43"/>
      <c r="H2020" s="44"/>
      <c r="I2020" s="44"/>
      <c r="K2020" s="44"/>
    </row>
    <row r="2021" spans="1:11" x14ac:dyDescent="0.2">
      <c r="A2021" s="43"/>
      <c r="H2021" s="44"/>
      <c r="I2021" s="44"/>
      <c r="K2021" s="44"/>
    </row>
    <row r="2022" spans="1:11" x14ac:dyDescent="0.2">
      <c r="A2022" s="43"/>
      <c r="H2022" s="44"/>
      <c r="I2022" s="44"/>
      <c r="K2022" s="44"/>
    </row>
    <row r="2023" spans="1:11" x14ac:dyDescent="0.2">
      <c r="A2023" s="43"/>
      <c r="H2023" s="44"/>
      <c r="I2023" s="44"/>
      <c r="K2023" s="44"/>
    </row>
    <row r="2024" spans="1:11" x14ac:dyDescent="0.2">
      <c r="A2024" s="43"/>
      <c r="H2024" s="44"/>
      <c r="I2024" s="44"/>
      <c r="K2024" s="44"/>
    </row>
    <row r="2025" spans="1:11" x14ac:dyDescent="0.2">
      <c r="A2025" s="43"/>
      <c r="H2025" s="44"/>
      <c r="I2025" s="44"/>
      <c r="K2025" s="44"/>
    </row>
    <row r="2026" spans="1:11" x14ac:dyDescent="0.2">
      <c r="A2026" s="43"/>
      <c r="H2026" s="44"/>
      <c r="I2026" s="44"/>
      <c r="K2026" s="44"/>
    </row>
    <row r="2027" spans="1:11" x14ac:dyDescent="0.2">
      <c r="A2027" s="43"/>
      <c r="H2027" s="44"/>
      <c r="I2027" s="44"/>
      <c r="K2027" s="44"/>
    </row>
    <row r="2028" spans="1:11" x14ac:dyDescent="0.2">
      <c r="A2028" s="43"/>
      <c r="H2028" s="44"/>
      <c r="I2028" s="44"/>
      <c r="K2028" s="44"/>
    </row>
    <row r="2029" spans="1:11" x14ac:dyDescent="0.2">
      <c r="A2029" s="43"/>
      <c r="H2029" s="44"/>
      <c r="I2029" s="44"/>
      <c r="K2029" s="44"/>
    </row>
    <row r="2030" spans="1:11" x14ac:dyDescent="0.2">
      <c r="A2030" s="43"/>
      <c r="H2030" s="44"/>
      <c r="I2030" s="44"/>
      <c r="K2030" s="44"/>
    </row>
    <row r="2031" spans="1:11" x14ac:dyDescent="0.2">
      <c r="A2031" s="43"/>
      <c r="H2031" s="44"/>
      <c r="I2031" s="44"/>
      <c r="K2031" s="44"/>
    </row>
    <row r="2032" spans="1:11" x14ac:dyDescent="0.2">
      <c r="A2032" s="43"/>
      <c r="H2032" s="44"/>
      <c r="I2032" s="44"/>
      <c r="K2032" s="44"/>
    </row>
    <row r="2033" spans="1:11" x14ac:dyDescent="0.2">
      <c r="A2033" s="43"/>
      <c r="H2033" s="44"/>
      <c r="I2033" s="44"/>
      <c r="K2033" s="44"/>
    </row>
    <row r="2034" spans="1:11" x14ac:dyDescent="0.2">
      <c r="A2034" s="43"/>
      <c r="H2034" s="44"/>
      <c r="I2034" s="44"/>
      <c r="K2034" s="44"/>
    </row>
    <row r="2035" spans="1:11" x14ac:dyDescent="0.2">
      <c r="A2035" s="43"/>
      <c r="H2035" s="44"/>
      <c r="I2035" s="44"/>
      <c r="K2035" s="44"/>
    </row>
    <row r="2036" spans="1:11" x14ac:dyDescent="0.2">
      <c r="A2036" s="43"/>
      <c r="H2036" s="44"/>
      <c r="I2036" s="44"/>
      <c r="K2036" s="44"/>
    </row>
    <row r="2037" spans="1:11" x14ac:dyDescent="0.2">
      <c r="A2037" s="43"/>
      <c r="H2037" s="44"/>
      <c r="I2037" s="44"/>
      <c r="K2037" s="44"/>
    </row>
    <row r="2038" spans="1:11" x14ac:dyDescent="0.2">
      <c r="A2038" s="43"/>
      <c r="H2038" s="44"/>
      <c r="I2038" s="44"/>
      <c r="K2038" s="44"/>
    </row>
    <row r="2039" spans="1:11" x14ac:dyDescent="0.2">
      <c r="A2039" s="43"/>
      <c r="H2039" s="44"/>
      <c r="I2039" s="44"/>
      <c r="K2039" s="44"/>
    </row>
    <row r="2040" spans="1:11" x14ac:dyDescent="0.2">
      <c r="A2040" s="43"/>
      <c r="H2040" s="44"/>
      <c r="I2040" s="44"/>
      <c r="K2040" s="44"/>
    </row>
    <row r="2041" spans="1:11" x14ac:dyDescent="0.2">
      <c r="A2041" s="43"/>
      <c r="H2041" s="44"/>
      <c r="I2041" s="44"/>
      <c r="K2041" s="44"/>
    </row>
    <row r="2042" spans="1:11" x14ac:dyDescent="0.2">
      <c r="A2042" s="43"/>
      <c r="H2042" s="44"/>
      <c r="I2042" s="44"/>
      <c r="K2042" s="44"/>
    </row>
    <row r="2043" spans="1:11" x14ac:dyDescent="0.2">
      <c r="A2043" s="43"/>
      <c r="H2043" s="44"/>
      <c r="I2043" s="44"/>
      <c r="K2043" s="44"/>
    </row>
    <row r="2044" spans="1:11" x14ac:dyDescent="0.2">
      <c r="A2044" s="43"/>
      <c r="H2044" s="44"/>
      <c r="I2044" s="44"/>
      <c r="K2044" s="44"/>
    </row>
    <row r="2045" spans="1:11" x14ac:dyDescent="0.2">
      <c r="A2045" s="43"/>
      <c r="H2045" s="44"/>
      <c r="I2045" s="44"/>
      <c r="K2045" s="44"/>
    </row>
    <row r="2046" spans="1:11" x14ac:dyDescent="0.2">
      <c r="A2046" s="43"/>
      <c r="H2046" s="44"/>
      <c r="I2046" s="44"/>
      <c r="K2046" s="44"/>
    </row>
    <row r="2047" spans="1:11" x14ac:dyDescent="0.2">
      <c r="A2047" s="43"/>
      <c r="H2047" s="44"/>
      <c r="I2047" s="44"/>
      <c r="K2047" s="44"/>
    </row>
    <row r="2048" spans="1:11" x14ac:dyDescent="0.2">
      <c r="A2048" s="43"/>
      <c r="H2048" s="44"/>
      <c r="I2048" s="44"/>
      <c r="K2048" s="44"/>
    </row>
    <row r="2049" spans="1:11" x14ac:dyDescent="0.2">
      <c r="A2049" s="43"/>
      <c r="H2049" s="44"/>
      <c r="I2049" s="44"/>
      <c r="K2049" s="44"/>
    </row>
    <row r="2050" spans="1:11" x14ac:dyDescent="0.2">
      <c r="A2050" s="43"/>
      <c r="H2050" s="44"/>
      <c r="I2050" s="44"/>
      <c r="K2050" s="44"/>
    </row>
    <row r="2051" spans="1:11" x14ac:dyDescent="0.2">
      <c r="A2051" s="43"/>
      <c r="H2051" s="44"/>
      <c r="I2051" s="44"/>
      <c r="K2051" s="44"/>
    </row>
    <row r="2052" spans="1:11" x14ac:dyDescent="0.2">
      <c r="A2052" s="43"/>
      <c r="H2052" s="44"/>
      <c r="I2052" s="44"/>
      <c r="K2052" s="44"/>
    </row>
    <row r="2053" spans="1:11" x14ac:dyDescent="0.2">
      <c r="A2053" s="43"/>
      <c r="H2053" s="44"/>
      <c r="I2053" s="44"/>
      <c r="K2053" s="44"/>
    </row>
    <row r="2054" spans="1:11" x14ac:dyDescent="0.2">
      <c r="A2054" s="43"/>
      <c r="H2054" s="44"/>
      <c r="I2054" s="44"/>
      <c r="K2054" s="44"/>
    </row>
    <row r="2055" spans="1:11" x14ac:dyDescent="0.2">
      <c r="A2055" s="43"/>
      <c r="H2055" s="44"/>
      <c r="I2055" s="44"/>
      <c r="K2055" s="44"/>
    </row>
    <row r="2056" spans="1:11" x14ac:dyDescent="0.2">
      <c r="A2056" s="43"/>
      <c r="H2056" s="44"/>
      <c r="I2056" s="44"/>
      <c r="K2056" s="44"/>
    </row>
    <row r="2057" spans="1:11" x14ac:dyDescent="0.2">
      <c r="A2057" s="43"/>
      <c r="H2057" s="44"/>
      <c r="I2057" s="44"/>
      <c r="K2057" s="44"/>
    </row>
    <row r="2058" spans="1:11" x14ac:dyDescent="0.2">
      <c r="A2058" s="43"/>
      <c r="H2058" s="44"/>
      <c r="I2058" s="44"/>
      <c r="K2058" s="44"/>
    </row>
    <row r="2059" spans="1:11" x14ac:dyDescent="0.2">
      <c r="A2059" s="43"/>
      <c r="H2059" s="44"/>
      <c r="I2059" s="44"/>
      <c r="K2059" s="44"/>
    </row>
    <row r="2060" spans="1:11" x14ac:dyDescent="0.2">
      <c r="A2060" s="43"/>
      <c r="H2060" s="44"/>
      <c r="I2060" s="44"/>
      <c r="K2060" s="44"/>
    </row>
    <row r="2061" spans="1:11" x14ac:dyDescent="0.2">
      <c r="A2061" s="43"/>
      <c r="H2061" s="44"/>
      <c r="I2061" s="44"/>
      <c r="K2061" s="44"/>
    </row>
    <row r="2062" spans="1:11" x14ac:dyDescent="0.2">
      <c r="A2062" s="43"/>
      <c r="H2062" s="44"/>
      <c r="I2062" s="44"/>
      <c r="K2062" s="44"/>
    </row>
    <row r="2063" spans="1:11" x14ac:dyDescent="0.2">
      <c r="A2063" s="43"/>
      <c r="H2063" s="44"/>
      <c r="I2063" s="44"/>
      <c r="K2063" s="44"/>
    </row>
    <row r="2064" spans="1:11" x14ac:dyDescent="0.2">
      <c r="A2064" s="43"/>
      <c r="H2064" s="44"/>
      <c r="I2064" s="44"/>
      <c r="K2064" s="44"/>
    </row>
    <row r="2065" spans="1:11" x14ac:dyDescent="0.2">
      <c r="A2065" s="43"/>
      <c r="H2065" s="44"/>
      <c r="I2065" s="44"/>
      <c r="K2065" s="44"/>
    </row>
    <row r="2066" spans="1:11" x14ac:dyDescent="0.2">
      <c r="A2066" s="43"/>
      <c r="H2066" s="44"/>
      <c r="I2066" s="44"/>
      <c r="K2066" s="44"/>
    </row>
    <row r="2067" spans="1:11" x14ac:dyDescent="0.2">
      <c r="A2067" s="43"/>
      <c r="H2067" s="44"/>
      <c r="I2067" s="44"/>
      <c r="K2067" s="44"/>
    </row>
    <row r="2068" spans="1:11" x14ac:dyDescent="0.2">
      <c r="A2068" s="43"/>
      <c r="H2068" s="44"/>
      <c r="I2068" s="44"/>
      <c r="K2068" s="44"/>
    </row>
    <row r="2069" spans="1:11" x14ac:dyDescent="0.2">
      <c r="A2069" s="43"/>
      <c r="H2069" s="44"/>
      <c r="I2069" s="44"/>
      <c r="K2069" s="44"/>
    </row>
    <row r="2070" spans="1:11" x14ac:dyDescent="0.2">
      <c r="A2070" s="43"/>
      <c r="H2070" s="44"/>
      <c r="I2070" s="44"/>
      <c r="K2070" s="44"/>
    </row>
    <row r="2071" spans="1:11" x14ac:dyDescent="0.2">
      <c r="A2071" s="43"/>
      <c r="H2071" s="44"/>
      <c r="I2071" s="44"/>
      <c r="K2071" s="44"/>
    </row>
    <row r="2072" spans="1:11" x14ac:dyDescent="0.2">
      <c r="A2072" s="43"/>
      <c r="H2072" s="44"/>
      <c r="I2072" s="44"/>
      <c r="K2072" s="44"/>
    </row>
    <row r="2073" spans="1:11" x14ac:dyDescent="0.2">
      <c r="A2073" s="43"/>
      <c r="H2073" s="44"/>
      <c r="I2073" s="44"/>
      <c r="K2073" s="44"/>
    </row>
    <row r="2074" spans="1:11" x14ac:dyDescent="0.2">
      <c r="A2074" s="43"/>
      <c r="H2074" s="44"/>
      <c r="I2074" s="44"/>
      <c r="K2074" s="44"/>
    </row>
    <row r="2075" spans="1:11" x14ac:dyDescent="0.2">
      <c r="A2075" s="43"/>
      <c r="H2075" s="44"/>
      <c r="I2075" s="44"/>
      <c r="K2075" s="44"/>
    </row>
    <row r="2076" spans="1:11" x14ac:dyDescent="0.2">
      <c r="A2076" s="43"/>
      <c r="H2076" s="44"/>
      <c r="I2076" s="44"/>
      <c r="K2076" s="44"/>
    </row>
    <row r="2077" spans="1:11" x14ac:dyDescent="0.2">
      <c r="A2077" s="43"/>
      <c r="H2077" s="44"/>
      <c r="I2077" s="44"/>
      <c r="K2077" s="44"/>
    </row>
    <row r="2078" spans="1:11" x14ac:dyDescent="0.2">
      <c r="A2078" s="43"/>
      <c r="H2078" s="44"/>
      <c r="I2078" s="44"/>
      <c r="K2078" s="44"/>
    </row>
    <row r="2079" spans="1:11" x14ac:dyDescent="0.2">
      <c r="A2079" s="43"/>
      <c r="H2079" s="44"/>
      <c r="I2079" s="44"/>
      <c r="K2079" s="44"/>
    </row>
    <row r="2080" spans="1:11" x14ac:dyDescent="0.2">
      <c r="A2080" s="43"/>
      <c r="H2080" s="44"/>
      <c r="I2080" s="44"/>
      <c r="K2080" s="44"/>
    </row>
    <row r="2081" spans="1:11" x14ac:dyDescent="0.2">
      <c r="A2081" s="43"/>
      <c r="H2081" s="44"/>
      <c r="I2081" s="44"/>
      <c r="K2081" s="44"/>
    </row>
    <row r="2082" spans="1:11" x14ac:dyDescent="0.2">
      <c r="A2082" s="43"/>
      <c r="H2082" s="44"/>
      <c r="I2082" s="44"/>
      <c r="K2082" s="44"/>
    </row>
    <row r="2083" spans="1:11" x14ac:dyDescent="0.2">
      <c r="A2083" s="43"/>
      <c r="H2083" s="44"/>
      <c r="I2083" s="44"/>
      <c r="K2083" s="44"/>
    </row>
    <row r="2084" spans="1:11" x14ac:dyDescent="0.2">
      <c r="A2084" s="43"/>
      <c r="H2084" s="44"/>
      <c r="I2084" s="44"/>
      <c r="K2084" s="44"/>
    </row>
    <row r="2085" spans="1:11" x14ac:dyDescent="0.2">
      <c r="A2085" s="43"/>
      <c r="H2085" s="44"/>
      <c r="I2085" s="44"/>
      <c r="K2085" s="44"/>
    </row>
    <row r="2086" spans="1:11" x14ac:dyDescent="0.2">
      <c r="A2086" s="43"/>
      <c r="H2086" s="44"/>
      <c r="I2086" s="44"/>
      <c r="K2086" s="44"/>
    </row>
    <row r="2087" spans="1:11" x14ac:dyDescent="0.2">
      <c r="A2087" s="43"/>
      <c r="H2087" s="44"/>
      <c r="I2087" s="44"/>
      <c r="K2087" s="44"/>
    </row>
    <row r="2088" spans="1:11" x14ac:dyDescent="0.2">
      <c r="A2088" s="43"/>
      <c r="H2088" s="44"/>
      <c r="I2088" s="44"/>
      <c r="K2088" s="44"/>
    </row>
    <row r="2089" spans="1:11" x14ac:dyDescent="0.2">
      <c r="A2089" s="43"/>
      <c r="H2089" s="44"/>
      <c r="I2089" s="44"/>
      <c r="K2089" s="44"/>
    </row>
    <row r="2090" spans="1:11" x14ac:dyDescent="0.2">
      <c r="A2090" s="43"/>
      <c r="H2090" s="44"/>
      <c r="I2090" s="44"/>
      <c r="K2090" s="44"/>
    </row>
    <row r="2091" spans="1:11" x14ac:dyDescent="0.2">
      <c r="A2091" s="43"/>
      <c r="H2091" s="44"/>
      <c r="I2091" s="44"/>
      <c r="K2091" s="44"/>
    </row>
    <row r="2092" spans="1:11" x14ac:dyDescent="0.2">
      <c r="A2092" s="43"/>
      <c r="H2092" s="44"/>
      <c r="I2092" s="44"/>
      <c r="K2092" s="44"/>
    </row>
    <row r="2093" spans="1:11" x14ac:dyDescent="0.2">
      <c r="A2093" s="43"/>
      <c r="H2093" s="44"/>
      <c r="I2093" s="44"/>
      <c r="K2093" s="44"/>
    </row>
    <row r="2094" spans="1:11" x14ac:dyDescent="0.2">
      <c r="A2094" s="43"/>
      <c r="H2094" s="44"/>
      <c r="I2094" s="44"/>
      <c r="K2094" s="44"/>
    </row>
    <row r="2095" spans="1:11" x14ac:dyDescent="0.2">
      <c r="A2095" s="43"/>
      <c r="H2095" s="44"/>
      <c r="I2095" s="44"/>
      <c r="K2095" s="44"/>
    </row>
    <row r="2096" spans="1:11" x14ac:dyDescent="0.2">
      <c r="A2096" s="43"/>
      <c r="H2096" s="44"/>
      <c r="I2096" s="44"/>
      <c r="K2096" s="44"/>
    </row>
    <row r="2097" spans="1:11" x14ac:dyDescent="0.2">
      <c r="A2097" s="43"/>
      <c r="H2097" s="44"/>
      <c r="I2097" s="44"/>
      <c r="K2097" s="44"/>
    </row>
    <row r="2098" spans="1:11" x14ac:dyDescent="0.2">
      <c r="A2098" s="43"/>
      <c r="H2098" s="44"/>
      <c r="I2098" s="44"/>
      <c r="K2098" s="44"/>
    </row>
    <row r="2099" spans="1:11" x14ac:dyDescent="0.2">
      <c r="A2099" s="43"/>
      <c r="H2099" s="44"/>
      <c r="I2099" s="44"/>
      <c r="K2099" s="44"/>
    </row>
    <row r="2100" spans="1:11" x14ac:dyDescent="0.2">
      <c r="A2100" s="43"/>
      <c r="H2100" s="44"/>
      <c r="I2100" s="44"/>
      <c r="K2100" s="44"/>
    </row>
    <row r="2101" spans="1:11" x14ac:dyDescent="0.2">
      <c r="A2101" s="43"/>
      <c r="H2101" s="44"/>
      <c r="I2101" s="44"/>
      <c r="K2101" s="44"/>
    </row>
    <row r="2102" spans="1:11" x14ac:dyDescent="0.2">
      <c r="A2102" s="43"/>
      <c r="H2102" s="44"/>
      <c r="I2102" s="44"/>
      <c r="K2102" s="44"/>
    </row>
    <row r="2103" spans="1:11" x14ac:dyDescent="0.2">
      <c r="A2103" s="43"/>
      <c r="H2103" s="44"/>
      <c r="I2103" s="44"/>
      <c r="K2103" s="44"/>
    </row>
    <row r="2104" spans="1:11" x14ac:dyDescent="0.2">
      <c r="A2104" s="43"/>
      <c r="H2104" s="44"/>
      <c r="I2104" s="44"/>
      <c r="K2104" s="44"/>
    </row>
    <row r="2105" spans="1:11" x14ac:dyDescent="0.2">
      <c r="A2105" s="43"/>
      <c r="H2105" s="44"/>
      <c r="I2105" s="44"/>
      <c r="K2105" s="44"/>
    </row>
    <row r="2106" spans="1:11" x14ac:dyDescent="0.2">
      <c r="A2106" s="43"/>
      <c r="H2106" s="44"/>
      <c r="I2106" s="44"/>
      <c r="K2106" s="44"/>
    </row>
    <row r="2107" spans="1:11" x14ac:dyDescent="0.2">
      <c r="A2107" s="43"/>
      <c r="H2107" s="44"/>
      <c r="I2107" s="44"/>
      <c r="K2107" s="44"/>
    </row>
    <row r="2108" spans="1:11" x14ac:dyDescent="0.2">
      <c r="A2108" s="43"/>
      <c r="H2108" s="44"/>
      <c r="I2108" s="44"/>
      <c r="K2108" s="44"/>
    </row>
    <row r="2109" spans="1:11" x14ac:dyDescent="0.2">
      <c r="A2109" s="43"/>
      <c r="H2109" s="44"/>
      <c r="I2109" s="44"/>
      <c r="K2109" s="44"/>
    </row>
    <row r="2110" spans="1:11" x14ac:dyDescent="0.2">
      <c r="A2110" s="43"/>
      <c r="H2110" s="44"/>
      <c r="I2110" s="44"/>
      <c r="K2110" s="44"/>
    </row>
    <row r="2111" spans="1:11" x14ac:dyDescent="0.2">
      <c r="A2111" s="43"/>
      <c r="H2111" s="44"/>
      <c r="I2111" s="44"/>
      <c r="K2111" s="44"/>
    </row>
    <row r="2112" spans="1:11" x14ac:dyDescent="0.2">
      <c r="A2112" s="43"/>
      <c r="H2112" s="44"/>
      <c r="I2112" s="44"/>
      <c r="K2112" s="44"/>
    </row>
    <row r="2113" spans="1:11" x14ac:dyDescent="0.2">
      <c r="A2113" s="43"/>
      <c r="H2113" s="44"/>
      <c r="I2113" s="44"/>
      <c r="K2113" s="44"/>
    </row>
    <row r="2114" spans="1:11" x14ac:dyDescent="0.2">
      <c r="A2114" s="43"/>
      <c r="H2114" s="44"/>
      <c r="I2114" s="44"/>
      <c r="K2114" s="44"/>
    </row>
    <row r="2115" spans="1:11" x14ac:dyDescent="0.2">
      <c r="A2115" s="43"/>
      <c r="H2115" s="44"/>
      <c r="I2115" s="44"/>
      <c r="K2115" s="44"/>
    </row>
    <row r="2116" spans="1:11" x14ac:dyDescent="0.2">
      <c r="A2116" s="43"/>
      <c r="H2116" s="44"/>
      <c r="I2116" s="44"/>
      <c r="K2116" s="44"/>
    </row>
    <row r="2117" spans="1:11" x14ac:dyDescent="0.2">
      <c r="A2117" s="43"/>
      <c r="H2117" s="44"/>
      <c r="I2117" s="44"/>
      <c r="K2117" s="44"/>
    </row>
    <row r="2118" spans="1:11" x14ac:dyDescent="0.2">
      <c r="A2118" s="43"/>
      <c r="H2118" s="44"/>
      <c r="I2118" s="44"/>
      <c r="K2118" s="44"/>
    </row>
    <row r="2119" spans="1:11" x14ac:dyDescent="0.2">
      <c r="A2119" s="43"/>
      <c r="H2119" s="44"/>
      <c r="I2119" s="44"/>
      <c r="K2119" s="44"/>
    </row>
    <row r="2120" spans="1:11" x14ac:dyDescent="0.2">
      <c r="A2120" s="43"/>
      <c r="H2120" s="44"/>
      <c r="I2120" s="44"/>
      <c r="K2120" s="44"/>
    </row>
    <row r="2121" spans="1:11" x14ac:dyDescent="0.2">
      <c r="A2121" s="43"/>
      <c r="H2121" s="44"/>
      <c r="I2121" s="44"/>
      <c r="K2121" s="44"/>
    </row>
    <row r="2122" spans="1:11" x14ac:dyDescent="0.2">
      <c r="A2122" s="43"/>
      <c r="H2122" s="44"/>
      <c r="I2122" s="44"/>
      <c r="K2122" s="44"/>
    </row>
    <row r="2123" spans="1:11" x14ac:dyDescent="0.2">
      <c r="A2123" s="43"/>
      <c r="H2123" s="44"/>
      <c r="I2123" s="44"/>
      <c r="K2123" s="44"/>
    </row>
    <row r="2124" spans="1:11" x14ac:dyDescent="0.2">
      <c r="A2124" s="43"/>
      <c r="H2124" s="44"/>
      <c r="I2124" s="44"/>
      <c r="K2124" s="44"/>
    </row>
    <row r="2125" spans="1:11" x14ac:dyDescent="0.2">
      <c r="A2125" s="43"/>
      <c r="H2125" s="44"/>
      <c r="I2125" s="44"/>
      <c r="K2125" s="44"/>
    </row>
    <row r="2126" spans="1:11" x14ac:dyDescent="0.2">
      <c r="A2126" s="43"/>
      <c r="H2126" s="44"/>
      <c r="I2126" s="44"/>
      <c r="K2126" s="44"/>
    </row>
    <row r="2127" spans="1:11" x14ac:dyDescent="0.2">
      <c r="A2127" s="43"/>
      <c r="H2127" s="44"/>
      <c r="I2127" s="44"/>
      <c r="K2127" s="44"/>
    </row>
    <row r="2128" spans="1:11" x14ac:dyDescent="0.2">
      <c r="A2128" s="43"/>
      <c r="H2128" s="44"/>
      <c r="I2128" s="44"/>
      <c r="K2128" s="44"/>
    </row>
    <row r="2129" spans="1:11" x14ac:dyDescent="0.2">
      <c r="A2129" s="43"/>
      <c r="H2129" s="44"/>
      <c r="I2129" s="44"/>
      <c r="K2129" s="44"/>
    </row>
    <row r="2130" spans="1:11" x14ac:dyDescent="0.2">
      <c r="A2130" s="43"/>
      <c r="H2130" s="44"/>
      <c r="I2130" s="44"/>
      <c r="K2130" s="44"/>
    </row>
    <row r="2131" spans="1:11" x14ac:dyDescent="0.2">
      <c r="A2131" s="43"/>
      <c r="H2131" s="44"/>
      <c r="I2131" s="44"/>
      <c r="K2131" s="44"/>
    </row>
    <row r="2132" spans="1:11" x14ac:dyDescent="0.2">
      <c r="A2132" s="43"/>
      <c r="H2132" s="44"/>
      <c r="I2132" s="44"/>
      <c r="K2132" s="44"/>
    </row>
    <row r="2133" spans="1:11" x14ac:dyDescent="0.2">
      <c r="A2133" s="43"/>
      <c r="H2133" s="44"/>
      <c r="I2133" s="44"/>
      <c r="K2133" s="44"/>
    </row>
    <row r="2134" spans="1:11" x14ac:dyDescent="0.2">
      <c r="A2134" s="43"/>
      <c r="H2134" s="44"/>
      <c r="I2134" s="44"/>
      <c r="K2134" s="44"/>
    </row>
    <row r="2135" spans="1:11" x14ac:dyDescent="0.2">
      <c r="A2135" s="43"/>
      <c r="H2135" s="44"/>
      <c r="I2135" s="44"/>
      <c r="K2135" s="44"/>
    </row>
    <row r="2136" spans="1:11" x14ac:dyDescent="0.2">
      <c r="A2136" s="43"/>
      <c r="H2136" s="44"/>
      <c r="I2136" s="44"/>
      <c r="K2136" s="44"/>
    </row>
    <row r="2137" spans="1:11" x14ac:dyDescent="0.2">
      <c r="A2137" s="43"/>
      <c r="H2137" s="44"/>
      <c r="I2137" s="44"/>
      <c r="K2137" s="44"/>
    </row>
    <row r="2138" spans="1:11" x14ac:dyDescent="0.2">
      <c r="A2138" s="43"/>
      <c r="H2138" s="44"/>
      <c r="I2138" s="44"/>
      <c r="K2138" s="44"/>
    </row>
    <row r="2139" spans="1:11" x14ac:dyDescent="0.2">
      <c r="A2139" s="43"/>
      <c r="H2139" s="44"/>
      <c r="I2139" s="44"/>
      <c r="K2139" s="44"/>
    </row>
    <row r="2140" spans="1:11" x14ac:dyDescent="0.2">
      <c r="A2140" s="43"/>
      <c r="H2140" s="44"/>
      <c r="I2140" s="44"/>
      <c r="K2140" s="44"/>
    </row>
    <row r="2141" spans="1:11" x14ac:dyDescent="0.2">
      <c r="A2141" s="43"/>
      <c r="H2141" s="44"/>
      <c r="I2141" s="44"/>
      <c r="K2141" s="44"/>
    </row>
    <row r="2142" spans="1:11" x14ac:dyDescent="0.2">
      <c r="A2142" s="43"/>
      <c r="H2142" s="44"/>
      <c r="I2142" s="44"/>
      <c r="K2142" s="44"/>
    </row>
    <row r="2143" spans="1:11" x14ac:dyDescent="0.2">
      <c r="A2143" s="43"/>
      <c r="H2143" s="44"/>
      <c r="I2143" s="44"/>
      <c r="K2143" s="44"/>
    </row>
    <row r="2144" spans="1:11" x14ac:dyDescent="0.2">
      <c r="A2144" s="43"/>
      <c r="H2144" s="44"/>
      <c r="I2144" s="44"/>
      <c r="K2144" s="44"/>
    </row>
    <row r="2145" spans="1:11" x14ac:dyDescent="0.2">
      <c r="A2145" s="43"/>
      <c r="H2145" s="44"/>
      <c r="I2145" s="44"/>
      <c r="K2145" s="44"/>
    </row>
    <row r="2146" spans="1:11" x14ac:dyDescent="0.2">
      <c r="A2146" s="43"/>
      <c r="H2146" s="44"/>
      <c r="I2146" s="44"/>
      <c r="K2146" s="44"/>
    </row>
    <row r="2147" spans="1:11" x14ac:dyDescent="0.2">
      <c r="A2147" s="43"/>
      <c r="H2147" s="44"/>
      <c r="I2147" s="44"/>
      <c r="K2147" s="44"/>
    </row>
    <row r="2148" spans="1:11" x14ac:dyDescent="0.2">
      <c r="A2148" s="43"/>
      <c r="H2148" s="44"/>
      <c r="I2148" s="44"/>
      <c r="K2148" s="44"/>
    </row>
    <row r="2149" spans="1:11" x14ac:dyDescent="0.2">
      <c r="A2149" s="43"/>
      <c r="H2149" s="44"/>
      <c r="I2149" s="44"/>
      <c r="K2149" s="44"/>
    </row>
    <row r="2150" spans="1:11" x14ac:dyDescent="0.2">
      <c r="A2150" s="43"/>
      <c r="H2150" s="44"/>
      <c r="I2150" s="44"/>
      <c r="K2150" s="44"/>
    </row>
    <row r="2151" spans="1:11" x14ac:dyDescent="0.2">
      <c r="A2151" s="43"/>
      <c r="H2151" s="44"/>
      <c r="I2151" s="44"/>
      <c r="K2151" s="44"/>
    </row>
    <row r="2152" spans="1:11" x14ac:dyDescent="0.2">
      <c r="A2152" s="43"/>
      <c r="H2152" s="44"/>
      <c r="I2152" s="44"/>
      <c r="K2152" s="44"/>
    </row>
    <row r="2153" spans="1:11" x14ac:dyDescent="0.2">
      <c r="A2153" s="43"/>
      <c r="H2153" s="44"/>
      <c r="I2153" s="44"/>
      <c r="K2153" s="44"/>
    </row>
    <row r="2154" spans="1:11" x14ac:dyDescent="0.2">
      <c r="A2154" s="43"/>
      <c r="H2154" s="44"/>
      <c r="I2154" s="44"/>
      <c r="K2154" s="44"/>
    </row>
    <row r="2155" spans="1:11" x14ac:dyDescent="0.2">
      <c r="A2155" s="43"/>
      <c r="H2155" s="44"/>
      <c r="I2155" s="44"/>
      <c r="K2155" s="44"/>
    </row>
    <row r="2156" spans="1:11" x14ac:dyDescent="0.2">
      <c r="A2156" s="43"/>
      <c r="H2156" s="44"/>
      <c r="I2156" s="44"/>
      <c r="K2156" s="44"/>
    </row>
    <row r="2157" spans="1:11" x14ac:dyDescent="0.2">
      <c r="A2157" s="43"/>
      <c r="H2157" s="44"/>
      <c r="I2157" s="44"/>
      <c r="K2157" s="44"/>
    </row>
    <row r="2158" spans="1:11" x14ac:dyDescent="0.2">
      <c r="A2158" s="43"/>
      <c r="H2158" s="44"/>
      <c r="I2158" s="44"/>
      <c r="K2158" s="44"/>
    </row>
    <row r="2159" spans="1:11" x14ac:dyDescent="0.2">
      <c r="A2159" s="43"/>
      <c r="H2159" s="44"/>
      <c r="I2159" s="44"/>
      <c r="K2159" s="44"/>
    </row>
    <row r="2160" spans="1:11" x14ac:dyDescent="0.2">
      <c r="A2160" s="43"/>
      <c r="H2160" s="44"/>
      <c r="I2160" s="44"/>
      <c r="K2160" s="44"/>
    </row>
    <row r="2161" spans="1:11" x14ac:dyDescent="0.2">
      <c r="A2161" s="43"/>
      <c r="H2161" s="44"/>
      <c r="I2161" s="44"/>
      <c r="K2161" s="44"/>
    </row>
    <row r="2162" spans="1:11" x14ac:dyDescent="0.2">
      <c r="A2162" s="43"/>
      <c r="H2162" s="44"/>
      <c r="I2162" s="44"/>
      <c r="K2162" s="44"/>
    </row>
    <row r="2163" spans="1:11" x14ac:dyDescent="0.2">
      <c r="A2163" s="43"/>
      <c r="H2163" s="44"/>
      <c r="I2163" s="44"/>
      <c r="K2163" s="44"/>
    </row>
    <row r="2164" spans="1:11" x14ac:dyDescent="0.2">
      <c r="A2164" s="43"/>
      <c r="H2164" s="44"/>
      <c r="I2164" s="44"/>
      <c r="K2164" s="44"/>
    </row>
    <row r="2165" spans="1:11" x14ac:dyDescent="0.2">
      <c r="A2165" s="43"/>
      <c r="H2165" s="44"/>
      <c r="I2165" s="44"/>
      <c r="K2165" s="44"/>
    </row>
    <row r="2166" spans="1:11" x14ac:dyDescent="0.2">
      <c r="A2166" s="43"/>
      <c r="H2166" s="44"/>
      <c r="I2166" s="44"/>
      <c r="K2166" s="44"/>
    </row>
    <row r="2167" spans="1:11" x14ac:dyDescent="0.2">
      <c r="A2167" s="43"/>
      <c r="H2167" s="44"/>
      <c r="I2167" s="44"/>
      <c r="K2167" s="44"/>
    </row>
    <row r="2168" spans="1:11" x14ac:dyDescent="0.2">
      <c r="A2168" s="43"/>
      <c r="H2168" s="44"/>
      <c r="I2168" s="44"/>
      <c r="K2168" s="44"/>
    </row>
    <row r="2169" spans="1:11" x14ac:dyDescent="0.2">
      <c r="A2169" s="43"/>
      <c r="H2169" s="44"/>
      <c r="I2169" s="44"/>
      <c r="K2169" s="44"/>
    </row>
    <row r="2170" spans="1:11" x14ac:dyDescent="0.2">
      <c r="A2170" s="43"/>
      <c r="H2170" s="44"/>
      <c r="I2170" s="44"/>
      <c r="K2170" s="44"/>
    </row>
    <row r="2171" spans="1:11" x14ac:dyDescent="0.2">
      <c r="A2171" s="43"/>
      <c r="H2171" s="44"/>
      <c r="I2171" s="44"/>
      <c r="K2171" s="44"/>
    </row>
    <row r="2172" spans="1:11" x14ac:dyDescent="0.2">
      <c r="A2172" s="43"/>
      <c r="H2172" s="44"/>
      <c r="I2172" s="44"/>
      <c r="K2172" s="44"/>
    </row>
    <row r="2173" spans="1:11" x14ac:dyDescent="0.2">
      <c r="A2173" s="43"/>
      <c r="H2173" s="44"/>
      <c r="I2173" s="44"/>
      <c r="K2173" s="44"/>
    </row>
    <row r="2174" spans="1:11" x14ac:dyDescent="0.2">
      <c r="A2174" s="43"/>
      <c r="H2174" s="44"/>
      <c r="I2174" s="44"/>
      <c r="K2174" s="44"/>
    </row>
    <row r="2175" spans="1:11" x14ac:dyDescent="0.2">
      <c r="A2175" s="43"/>
      <c r="H2175" s="44"/>
      <c r="I2175" s="44"/>
      <c r="K2175" s="44"/>
    </row>
    <row r="2176" spans="1:11" x14ac:dyDescent="0.2">
      <c r="A2176" s="43"/>
      <c r="H2176" s="44"/>
      <c r="I2176" s="44"/>
      <c r="K2176" s="44"/>
    </row>
    <row r="2177" spans="1:11" x14ac:dyDescent="0.2">
      <c r="A2177" s="43"/>
      <c r="H2177" s="44"/>
      <c r="I2177" s="44"/>
      <c r="K2177" s="44"/>
    </row>
    <row r="2178" spans="1:11" x14ac:dyDescent="0.2">
      <c r="A2178" s="43"/>
      <c r="H2178" s="44"/>
      <c r="I2178" s="44"/>
      <c r="K2178" s="44"/>
    </row>
    <row r="2179" spans="1:11" x14ac:dyDescent="0.2">
      <c r="A2179" s="43"/>
      <c r="H2179" s="44"/>
      <c r="I2179" s="44"/>
      <c r="K2179" s="44"/>
    </row>
    <row r="2180" spans="1:11" x14ac:dyDescent="0.2">
      <c r="A2180" s="43"/>
      <c r="H2180" s="44"/>
      <c r="I2180" s="44"/>
      <c r="K2180" s="44"/>
    </row>
    <row r="2181" spans="1:11" x14ac:dyDescent="0.2">
      <c r="A2181" s="43"/>
      <c r="H2181" s="44"/>
      <c r="I2181" s="44"/>
      <c r="K2181" s="44"/>
    </row>
    <row r="2182" spans="1:11" x14ac:dyDescent="0.2">
      <c r="A2182" s="43"/>
      <c r="H2182" s="44"/>
      <c r="I2182" s="44"/>
      <c r="K2182" s="44"/>
    </row>
    <row r="2183" spans="1:11" x14ac:dyDescent="0.2">
      <c r="A2183" s="43"/>
      <c r="H2183" s="44"/>
      <c r="I2183" s="44"/>
      <c r="K2183" s="44"/>
    </row>
    <row r="2184" spans="1:11" x14ac:dyDescent="0.2">
      <c r="A2184" s="43"/>
      <c r="H2184" s="44"/>
      <c r="I2184" s="44"/>
      <c r="K2184" s="44"/>
    </row>
    <row r="2185" spans="1:11" x14ac:dyDescent="0.2">
      <c r="A2185" s="43"/>
      <c r="H2185" s="44"/>
      <c r="I2185" s="44"/>
      <c r="K2185" s="44"/>
    </row>
    <row r="2186" spans="1:11" x14ac:dyDescent="0.2">
      <c r="A2186" s="43"/>
      <c r="H2186" s="44"/>
      <c r="I2186" s="44"/>
      <c r="K2186" s="44"/>
    </row>
    <row r="2187" spans="1:11" x14ac:dyDescent="0.2">
      <c r="A2187" s="43"/>
      <c r="H2187" s="44"/>
      <c r="I2187" s="44"/>
      <c r="K2187" s="44"/>
    </row>
    <row r="2188" spans="1:11" x14ac:dyDescent="0.2">
      <c r="A2188" s="43"/>
      <c r="H2188" s="44"/>
      <c r="I2188" s="44"/>
      <c r="K2188" s="44"/>
    </row>
    <row r="2189" spans="1:11" x14ac:dyDescent="0.2">
      <c r="A2189" s="43"/>
      <c r="H2189" s="44"/>
      <c r="I2189" s="44"/>
      <c r="K2189" s="44"/>
    </row>
    <row r="2190" spans="1:11" x14ac:dyDescent="0.2">
      <c r="A2190" s="43"/>
      <c r="H2190" s="44"/>
      <c r="I2190" s="44"/>
      <c r="K2190" s="44"/>
    </row>
    <row r="2191" spans="1:11" x14ac:dyDescent="0.2">
      <c r="A2191" s="43"/>
      <c r="H2191" s="44"/>
      <c r="I2191" s="44"/>
      <c r="K2191" s="44"/>
    </row>
    <row r="2192" spans="1:11" x14ac:dyDescent="0.2">
      <c r="A2192" s="43"/>
      <c r="H2192" s="44"/>
      <c r="I2192" s="44"/>
      <c r="K2192" s="44"/>
    </row>
    <row r="2193" spans="1:11" x14ac:dyDescent="0.2">
      <c r="A2193" s="43"/>
      <c r="H2193" s="44"/>
      <c r="I2193" s="44"/>
      <c r="K2193" s="44"/>
    </row>
    <row r="2194" spans="1:11" x14ac:dyDescent="0.2">
      <c r="A2194" s="43"/>
      <c r="H2194" s="44"/>
      <c r="I2194" s="44"/>
      <c r="K2194" s="44"/>
    </row>
    <row r="2195" spans="1:11" x14ac:dyDescent="0.2">
      <c r="A2195" s="43"/>
      <c r="H2195" s="44"/>
      <c r="I2195" s="44"/>
      <c r="K2195" s="44"/>
    </row>
    <row r="2196" spans="1:11" x14ac:dyDescent="0.2">
      <c r="A2196" s="43"/>
      <c r="H2196" s="44"/>
      <c r="I2196" s="44"/>
      <c r="K2196" s="44"/>
    </row>
    <row r="2197" spans="1:11" x14ac:dyDescent="0.2">
      <c r="A2197" s="43"/>
      <c r="H2197" s="44"/>
      <c r="I2197" s="44"/>
      <c r="K2197" s="44"/>
    </row>
    <row r="2198" spans="1:11" x14ac:dyDescent="0.2">
      <c r="A2198" s="43"/>
      <c r="H2198" s="44"/>
      <c r="I2198" s="44"/>
      <c r="K2198" s="44"/>
    </row>
    <row r="2199" spans="1:11" x14ac:dyDescent="0.2">
      <c r="A2199" s="43"/>
      <c r="H2199" s="44"/>
      <c r="I2199" s="44"/>
      <c r="K2199" s="44"/>
    </row>
    <row r="2200" spans="1:11" x14ac:dyDescent="0.2">
      <c r="A2200" s="43"/>
      <c r="H2200" s="44"/>
      <c r="I2200" s="44"/>
      <c r="K2200" s="44"/>
    </row>
    <row r="2201" spans="1:11" x14ac:dyDescent="0.2">
      <c r="A2201" s="43"/>
      <c r="H2201" s="44"/>
      <c r="I2201" s="44"/>
      <c r="K2201" s="44"/>
    </row>
    <row r="2202" spans="1:11" x14ac:dyDescent="0.2">
      <c r="A2202" s="43"/>
      <c r="H2202" s="44"/>
      <c r="I2202" s="44"/>
      <c r="K2202" s="44"/>
    </row>
    <row r="2203" spans="1:11" x14ac:dyDescent="0.2">
      <c r="A2203" s="43"/>
      <c r="H2203" s="44"/>
      <c r="I2203" s="44"/>
      <c r="K2203" s="44"/>
    </row>
    <row r="2204" spans="1:11" x14ac:dyDescent="0.2">
      <c r="A2204" s="43"/>
      <c r="H2204" s="44"/>
      <c r="I2204" s="44"/>
      <c r="K2204" s="44"/>
    </row>
    <row r="2205" spans="1:11" x14ac:dyDescent="0.2">
      <c r="A2205" s="43"/>
      <c r="H2205" s="44"/>
      <c r="I2205" s="44"/>
      <c r="K2205" s="44"/>
    </row>
    <row r="2206" spans="1:11" x14ac:dyDescent="0.2">
      <c r="A2206" s="43"/>
      <c r="H2206" s="44"/>
      <c r="I2206" s="44"/>
      <c r="K2206" s="44"/>
    </row>
    <row r="2207" spans="1:11" x14ac:dyDescent="0.2">
      <c r="A2207" s="43"/>
      <c r="H2207" s="44"/>
      <c r="I2207" s="44"/>
      <c r="K2207" s="44"/>
    </row>
    <row r="2208" spans="1:11" x14ac:dyDescent="0.2">
      <c r="A2208" s="43"/>
      <c r="H2208" s="44"/>
      <c r="I2208" s="44"/>
      <c r="K2208" s="44"/>
    </row>
    <row r="2209" spans="1:11" x14ac:dyDescent="0.2">
      <c r="A2209" s="43"/>
      <c r="H2209" s="44"/>
      <c r="I2209" s="44"/>
      <c r="K2209" s="44"/>
    </row>
    <row r="2210" spans="1:11" x14ac:dyDescent="0.2">
      <c r="A2210" s="43"/>
      <c r="H2210" s="44"/>
      <c r="I2210" s="44"/>
      <c r="K2210" s="44"/>
    </row>
    <row r="2211" spans="1:11" x14ac:dyDescent="0.2">
      <c r="A2211" s="43"/>
      <c r="H2211" s="44"/>
      <c r="I2211" s="44"/>
      <c r="K2211" s="44"/>
    </row>
    <row r="2212" spans="1:11" x14ac:dyDescent="0.2">
      <c r="A2212" s="43"/>
      <c r="H2212" s="44"/>
      <c r="I2212" s="44"/>
      <c r="K2212" s="44"/>
    </row>
    <row r="2213" spans="1:11" x14ac:dyDescent="0.2">
      <c r="A2213" s="43"/>
      <c r="H2213" s="44"/>
      <c r="I2213" s="44"/>
      <c r="K2213" s="44"/>
    </row>
    <row r="2214" spans="1:11" x14ac:dyDescent="0.2">
      <c r="A2214" s="43"/>
      <c r="H2214" s="44"/>
      <c r="I2214" s="44"/>
      <c r="K2214" s="44"/>
    </row>
    <row r="2215" spans="1:11" x14ac:dyDescent="0.2">
      <c r="A2215" s="43"/>
      <c r="H2215" s="44"/>
      <c r="I2215" s="44"/>
      <c r="K2215" s="44"/>
    </row>
    <row r="2216" spans="1:11" x14ac:dyDescent="0.2">
      <c r="A2216" s="43"/>
      <c r="H2216" s="44"/>
      <c r="I2216" s="44"/>
      <c r="K2216" s="44"/>
    </row>
    <row r="2217" spans="1:11" x14ac:dyDescent="0.2">
      <c r="A2217" s="43"/>
      <c r="H2217" s="44"/>
      <c r="I2217" s="44"/>
      <c r="K2217" s="44"/>
    </row>
    <row r="2218" spans="1:11" x14ac:dyDescent="0.2">
      <c r="A2218" s="43"/>
      <c r="H2218" s="44"/>
      <c r="I2218" s="44"/>
      <c r="K2218" s="44"/>
    </row>
    <row r="2219" spans="1:11" x14ac:dyDescent="0.2">
      <c r="A2219" s="43"/>
      <c r="H2219" s="44"/>
      <c r="I2219" s="44"/>
      <c r="K2219" s="44"/>
    </row>
    <row r="2220" spans="1:11" x14ac:dyDescent="0.2">
      <c r="A2220" s="43"/>
      <c r="H2220" s="44"/>
      <c r="I2220" s="44"/>
      <c r="K2220" s="44"/>
    </row>
    <row r="2221" spans="1:11" x14ac:dyDescent="0.2">
      <c r="A2221" s="43"/>
      <c r="H2221" s="44"/>
      <c r="I2221" s="44"/>
      <c r="K2221" s="44"/>
    </row>
    <row r="2222" spans="1:11" x14ac:dyDescent="0.2">
      <c r="A2222" s="43"/>
      <c r="H2222" s="44"/>
      <c r="I2222" s="44"/>
      <c r="K2222" s="44"/>
    </row>
    <row r="2223" spans="1:11" x14ac:dyDescent="0.2">
      <c r="A2223" s="43"/>
      <c r="H2223" s="44"/>
      <c r="I2223" s="44"/>
      <c r="K2223" s="44"/>
    </row>
    <row r="2224" spans="1:11" x14ac:dyDescent="0.2">
      <c r="A2224" s="43"/>
      <c r="H2224" s="44"/>
      <c r="I2224" s="44"/>
      <c r="K2224" s="44"/>
    </row>
    <row r="2225" spans="1:11" x14ac:dyDescent="0.2">
      <c r="A2225" s="43"/>
      <c r="H2225" s="44"/>
      <c r="I2225" s="44"/>
      <c r="K2225" s="44"/>
    </row>
    <row r="2226" spans="1:11" x14ac:dyDescent="0.2">
      <c r="A2226" s="43"/>
      <c r="H2226" s="44"/>
      <c r="I2226" s="44"/>
      <c r="K2226" s="44"/>
    </row>
    <row r="2227" spans="1:11" x14ac:dyDescent="0.2">
      <c r="A2227" s="43"/>
      <c r="H2227" s="44"/>
      <c r="I2227" s="44"/>
      <c r="K2227" s="44"/>
    </row>
    <row r="2228" spans="1:11" x14ac:dyDescent="0.2">
      <c r="A2228" s="43"/>
      <c r="H2228" s="44"/>
      <c r="I2228" s="44"/>
      <c r="K2228" s="44"/>
    </row>
    <row r="2229" spans="1:11" x14ac:dyDescent="0.2">
      <c r="A2229" s="43"/>
      <c r="H2229" s="44"/>
      <c r="I2229" s="44"/>
      <c r="K2229" s="44"/>
    </row>
    <row r="2230" spans="1:11" x14ac:dyDescent="0.2">
      <c r="A2230" s="43"/>
      <c r="H2230" s="44"/>
      <c r="I2230" s="44"/>
      <c r="K2230" s="44"/>
    </row>
    <row r="2231" spans="1:11" x14ac:dyDescent="0.2">
      <c r="A2231" s="43"/>
      <c r="H2231" s="44"/>
      <c r="I2231" s="44"/>
      <c r="K2231" s="44"/>
    </row>
    <row r="2232" spans="1:11" x14ac:dyDescent="0.2">
      <c r="A2232" s="43"/>
      <c r="H2232" s="44"/>
      <c r="I2232" s="44"/>
      <c r="K2232" s="44"/>
    </row>
    <row r="2233" spans="1:11" x14ac:dyDescent="0.2">
      <c r="A2233" s="43"/>
      <c r="H2233" s="44"/>
      <c r="I2233" s="44"/>
      <c r="K2233" s="44"/>
    </row>
    <row r="2234" spans="1:11" x14ac:dyDescent="0.2">
      <c r="A2234" s="43"/>
      <c r="H2234" s="44"/>
      <c r="I2234" s="44"/>
      <c r="K2234" s="44"/>
    </row>
    <row r="2235" spans="1:11" x14ac:dyDescent="0.2">
      <c r="A2235" s="43"/>
      <c r="H2235" s="44"/>
      <c r="I2235" s="44"/>
      <c r="K2235" s="44"/>
    </row>
    <row r="2236" spans="1:11" x14ac:dyDescent="0.2">
      <c r="A2236" s="43"/>
      <c r="H2236" s="44"/>
      <c r="I2236" s="44"/>
      <c r="K2236" s="44"/>
    </row>
    <row r="2237" spans="1:11" x14ac:dyDescent="0.2">
      <c r="A2237" s="43"/>
      <c r="H2237" s="44"/>
      <c r="I2237" s="44"/>
      <c r="K2237" s="44"/>
    </row>
    <row r="2238" spans="1:11" x14ac:dyDescent="0.2">
      <c r="A2238" s="43"/>
      <c r="H2238" s="44"/>
      <c r="I2238" s="44"/>
      <c r="K2238" s="44"/>
    </row>
    <row r="2239" spans="1:11" x14ac:dyDescent="0.2">
      <c r="A2239" s="43"/>
      <c r="H2239" s="44"/>
      <c r="I2239" s="44"/>
      <c r="K2239" s="44"/>
    </row>
    <row r="2240" spans="1:11" x14ac:dyDescent="0.2">
      <c r="A2240" s="43"/>
      <c r="H2240" s="44"/>
      <c r="I2240" s="44"/>
      <c r="K2240" s="44"/>
    </row>
    <row r="2241" spans="1:11" x14ac:dyDescent="0.2">
      <c r="A2241" s="43"/>
      <c r="H2241" s="44"/>
      <c r="I2241" s="44"/>
      <c r="K2241" s="44"/>
    </row>
    <row r="2242" spans="1:11" x14ac:dyDescent="0.2">
      <c r="A2242" s="43"/>
      <c r="H2242" s="44"/>
      <c r="I2242" s="44"/>
      <c r="K2242" s="44"/>
    </row>
    <row r="2243" spans="1:11" x14ac:dyDescent="0.2">
      <c r="A2243" s="43"/>
      <c r="H2243" s="44"/>
      <c r="I2243" s="44"/>
      <c r="K2243" s="44"/>
    </row>
    <row r="2244" spans="1:11" x14ac:dyDescent="0.2">
      <c r="A2244" s="43"/>
      <c r="H2244" s="44"/>
      <c r="I2244" s="44"/>
      <c r="K2244" s="44"/>
    </row>
    <row r="2245" spans="1:11" x14ac:dyDescent="0.2">
      <c r="A2245" s="43"/>
      <c r="H2245" s="44"/>
      <c r="I2245" s="44"/>
      <c r="K2245" s="44"/>
    </row>
    <row r="2246" spans="1:11" x14ac:dyDescent="0.2">
      <c r="A2246" s="43"/>
      <c r="H2246" s="44"/>
      <c r="I2246" s="44"/>
      <c r="K2246" s="44"/>
    </row>
    <row r="2247" spans="1:11" x14ac:dyDescent="0.2">
      <c r="A2247" s="43"/>
      <c r="H2247" s="44"/>
      <c r="I2247" s="44"/>
      <c r="K2247" s="44"/>
    </row>
    <row r="2248" spans="1:11" x14ac:dyDescent="0.2">
      <c r="A2248" s="43"/>
      <c r="H2248" s="44"/>
      <c r="I2248" s="44"/>
      <c r="K2248" s="44"/>
    </row>
    <row r="2249" spans="1:11" x14ac:dyDescent="0.2">
      <c r="A2249" s="43"/>
      <c r="H2249" s="44"/>
      <c r="I2249" s="44"/>
      <c r="K2249" s="44"/>
    </row>
    <row r="2250" spans="1:11" x14ac:dyDescent="0.2">
      <c r="A2250" s="43"/>
      <c r="H2250" s="44"/>
      <c r="I2250" s="44"/>
      <c r="K2250" s="44"/>
    </row>
    <row r="2251" spans="1:11" x14ac:dyDescent="0.2">
      <c r="A2251" s="43"/>
      <c r="H2251" s="44"/>
      <c r="I2251" s="44"/>
      <c r="K2251" s="44"/>
    </row>
    <row r="2252" spans="1:11" x14ac:dyDescent="0.2">
      <c r="A2252" s="43"/>
      <c r="H2252" s="44"/>
      <c r="I2252" s="44"/>
      <c r="K2252" s="44"/>
    </row>
    <row r="2253" spans="1:11" x14ac:dyDescent="0.2">
      <c r="A2253" s="43"/>
      <c r="H2253" s="44"/>
      <c r="I2253" s="44"/>
      <c r="K2253" s="44"/>
    </row>
    <row r="2254" spans="1:11" x14ac:dyDescent="0.2">
      <c r="A2254" s="43"/>
      <c r="H2254" s="44"/>
      <c r="I2254" s="44"/>
      <c r="K2254" s="44"/>
    </row>
    <row r="2255" spans="1:11" x14ac:dyDescent="0.2">
      <c r="A2255" s="43"/>
      <c r="H2255" s="44"/>
      <c r="I2255" s="44"/>
      <c r="K2255" s="44"/>
    </row>
    <row r="2256" spans="1:11" x14ac:dyDescent="0.2">
      <c r="A2256" s="43"/>
      <c r="H2256" s="44"/>
      <c r="I2256" s="44"/>
      <c r="K2256" s="44"/>
    </row>
    <row r="2257" spans="1:11" x14ac:dyDescent="0.2">
      <c r="A2257" s="43"/>
      <c r="H2257" s="44"/>
      <c r="I2257" s="44"/>
      <c r="K2257" s="44"/>
    </row>
    <row r="2258" spans="1:11" x14ac:dyDescent="0.2">
      <c r="A2258" s="43"/>
      <c r="H2258" s="44"/>
      <c r="I2258" s="44"/>
      <c r="K2258" s="44"/>
    </row>
    <row r="2259" spans="1:11" x14ac:dyDescent="0.2">
      <c r="A2259" s="43"/>
      <c r="H2259" s="44"/>
      <c r="I2259" s="44"/>
      <c r="K2259" s="44"/>
    </row>
    <row r="2260" spans="1:11" x14ac:dyDescent="0.2">
      <c r="A2260" s="43"/>
      <c r="H2260" s="44"/>
      <c r="I2260" s="44"/>
      <c r="K2260" s="44"/>
    </row>
    <row r="2261" spans="1:11" x14ac:dyDescent="0.2">
      <c r="A2261" s="43"/>
      <c r="H2261" s="44"/>
      <c r="I2261" s="44"/>
      <c r="K2261" s="44"/>
    </row>
    <row r="2262" spans="1:11" x14ac:dyDescent="0.2">
      <c r="A2262" s="43"/>
      <c r="H2262" s="44"/>
      <c r="I2262" s="44"/>
      <c r="K2262" s="44"/>
    </row>
    <row r="2263" spans="1:11" x14ac:dyDescent="0.2">
      <c r="A2263" s="43"/>
      <c r="H2263" s="44"/>
      <c r="I2263" s="44"/>
      <c r="K2263" s="44"/>
    </row>
    <row r="2264" spans="1:11" x14ac:dyDescent="0.2">
      <c r="A2264" s="43"/>
      <c r="H2264" s="44"/>
      <c r="I2264" s="44"/>
      <c r="K2264" s="44"/>
    </row>
    <row r="2265" spans="1:11" x14ac:dyDescent="0.2">
      <c r="A2265" s="43"/>
      <c r="H2265" s="44"/>
      <c r="I2265" s="44"/>
      <c r="K2265" s="44"/>
    </row>
    <row r="2266" spans="1:11" x14ac:dyDescent="0.2">
      <c r="A2266" s="43"/>
      <c r="H2266" s="44"/>
      <c r="I2266" s="44"/>
      <c r="K2266" s="44"/>
    </row>
    <row r="2267" spans="1:11" x14ac:dyDescent="0.2">
      <c r="A2267" s="43"/>
      <c r="H2267" s="44"/>
      <c r="I2267" s="44"/>
      <c r="K2267" s="44"/>
    </row>
    <row r="2268" spans="1:11" x14ac:dyDescent="0.2">
      <c r="A2268" s="43"/>
      <c r="H2268" s="44"/>
      <c r="I2268" s="44"/>
      <c r="K2268" s="44"/>
    </row>
    <row r="2269" spans="1:11" x14ac:dyDescent="0.2">
      <c r="A2269" s="43"/>
      <c r="H2269" s="44"/>
      <c r="I2269" s="44"/>
      <c r="K2269" s="44"/>
    </row>
    <row r="2270" spans="1:11" x14ac:dyDescent="0.2">
      <c r="A2270" s="43"/>
      <c r="H2270" s="44"/>
      <c r="I2270" s="44"/>
      <c r="K2270" s="44"/>
    </row>
    <row r="2271" spans="1:11" x14ac:dyDescent="0.2">
      <c r="A2271" s="43"/>
      <c r="H2271" s="44"/>
      <c r="I2271" s="44"/>
      <c r="K2271" s="44"/>
    </row>
    <row r="2272" spans="1:11" x14ac:dyDescent="0.2">
      <c r="A2272" s="43"/>
      <c r="H2272" s="44"/>
      <c r="I2272" s="44"/>
      <c r="K2272" s="44"/>
    </row>
    <row r="2273" spans="1:11" x14ac:dyDescent="0.2">
      <c r="A2273" s="43"/>
      <c r="H2273" s="44"/>
      <c r="I2273" s="44"/>
      <c r="K2273" s="44"/>
    </row>
    <row r="2274" spans="1:11" x14ac:dyDescent="0.2">
      <c r="A2274" s="43"/>
      <c r="H2274" s="44"/>
      <c r="I2274" s="44"/>
      <c r="K2274" s="44"/>
    </row>
    <row r="2275" spans="1:11" x14ac:dyDescent="0.2">
      <c r="A2275" s="43"/>
      <c r="H2275" s="44"/>
      <c r="I2275" s="44"/>
      <c r="K2275" s="44"/>
    </row>
    <row r="2276" spans="1:11" x14ac:dyDescent="0.2">
      <c r="A2276" s="43"/>
      <c r="H2276" s="44"/>
      <c r="I2276" s="44"/>
      <c r="K2276" s="44"/>
    </row>
    <row r="2277" spans="1:11" x14ac:dyDescent="0.2">
      <c r="A2277" s="43"/>
      <c r="H2277" s="44"/>
      <c r="I2277" s="44"/>
      <c r="K2277" s="44"/>
    </row>
    <row r="2278" spans="1:11" x14ac:dyDescent="0.2">
      <c r="A2278" s="43"/>
      <c r="H2278" s="44"/>
      <c r="I2278" s="44"/>
      <c r="K2278" s="44"/>
    </row>
    <row r="2279" spans="1:11" x14ac:dyDescent="0.2">
      <c r="A2279" s="43"/>
      <c r="H2279" s="44"/>
      <c r="I2279" s="44"/>
      <c r="K2279" s="44"/>
    </row>
    <row r="2280" spans="1:11" x14ac:dyDescent="0.2">
      <c r="A2280" s="43"/>
      <c r="H2280" s="44"/>
      <c r="I2280" s="44"/>
      <c r="K2280" s="44"/>
    </row>
    <row r="2281" spans="1:11" x14ac:dyDescent="0.2">
      <c r="A2281" s="43"/>
      <c r="H2281" s="44"/>
      <c r="I2281" s="44"/>
      <c r="K2281" s="44"/>
    </row>
    <row r="2282" spans="1:11" x14ac:dyDescent="0.2">
      <c r="A2282" s="43"/>
      <c r="H2282" s="44"/>
      <c r="I2282" s="44"/>
      <c r="K2282" s="44"/>
    </row>
    <row r="2283" spans="1:11" x14ac:dyDescent="0.2">
      <c r="A2283" s="43"/>
      <c r="H2283" s="44"/>
      <c r="I2283" s="44"/>
      <c r="K2283" s="44"/>
    </row>
    <row r="2284" spans="1:11" x14ac:dyDescent="0.2">
      <c r="A2284" s="43"/>
      <c r="H2284" s="44"/>
      <c r="I2284" s="44"/>
      <c r="K2284" s="44"/>
    </row>
    <row r="2285" spans="1:11" x14ac:dyDescent="0.2">
      <c r="A2285" s="43"/>
      <c r="H2285" s="44"/>
      <c r="I2285" s="44"/>
      <c r="K2285" s="44"/>
    </row>
    <row r="2286" spans="1:11" x14ac:dyDescent="0.2">
      <c r="A2286" s="43"/>
      <c r="H2286" s="44"/>
      <c r="I2286" s="44"/>
      <c r="K2286" s="44"/>
    </row>
    <row r="2287" spans="1:11" x14ac:dyDescent="0.2">
      <c r="A2287" s="43"/>
      <c r="H2287" s="44"/>
      <c r="I2287" s="44"/>
      <c r="K2287" s="44"/>
    </row>
    <row r="2288" spans="1:11" x14ac:dyDescent="0.2">
      <c r="A2288" s="43"/>
      <c r="H2288" s="44"/>
      <c r="I2288" s="44"/>
      <c r="K2288" s="44"/>
    </row>
    <row r="2289" spans="1:11" x14ac:dyDescent="0.2">
      <c r="A2289" s="43"/>
      <c r="H2289" s="44"/>
      <c r="I2289" s="44"/>
      <c r="K2289" s="44"/>
    </row>
    <row r="2290" spans="1:11" x14ac:dyDescent="0.2">
      <c r="A2290" s="43"/>
      <c r="H2290" s="44"/>
      <c r="I2290" s="44"/>
      <c r="K2290" s="44"/>
    </row>
    <row r="2291" spans="1:11" x14ac:dyDescent="0.2">
      <c r="A2291" s="43"/>
      <c r="H2291" s="44"/>
      <c r="I2291" s="44"/>
      <c r="K2291" s="44"/>
    </row>
    <row r="2292" spans="1:11" x14ac:dyDescent="0.2">
      <c r="A2292" s="43"/>
      <c r="H2292" s="44"/>
      <c r="I2292" s="44"/>
      <c r="K2292" s="44"/>
    </row>
    <row r="2293" spans="1:11" x14ac:dyDescent="0.2">
      <c r="A2293" s="43"/>
      <c r="H2293" s="44"/>
      <c r="I2293" s="44"/>
      <c r="K2293" s="44"/>
    </row>
    <row r="2294" spans="1:11" x14ac:dyDescent="0.2">
      <c r="A2294" s="43"/>
      <c r="H2294" s="44"/>
      <c r="I2294" s="44"/>
      <c r="K2294" s="44"/>
    </row>
    <row r="2295" spans="1:11" x14ac:dyDescent="0.2">
      <c r="A2295" s="43"/>
      <c r="H2295" s="44"/>
      <c r="I2295" s="44"/>
      <c r="K2295" s="44"/>
    </row>
    <row r="2296" spans="1:11" x14ac:dyDescent="0.2">
      <c r="A2296" s="43"/>
      <c r="H2296" s="44"/>
      <c r="I2296" s="44"/>
      <c r="K2296" s="44"/>
    </row>
    <row r="2297" spans="1:11" x14ac:dyDescent="0.2">
      <c r="A2297" s="43"/>
      <c r="H2297" s="44"/>
      <c r="I2297" s="44"/>
      <c r="K2297" s="44"/>
    </row>
    <row r="2298" spans="1:11" x14ac:dyDescent="0.2">
      <c r="A2298" s="43"/>
      <c r="H2298" s="44"/>
      <c r="I2298" s="44"/>
      <c r="K2298" s="44"/>
    </row>
    <row r="2299" spans="1:11" x14ac:dyDescent="0.2">
      <c r="A2299" s="43"/>
      <c r="H2299" s="44"/>
      <c r="I2299" s="44"/>
      <c r="K2299" s="44"/>
    </row>
    <row r="2300" spans="1:11" x14ac:dyDescent="0.2">
      <c r="A2300" s="43"/>
      <c r="H2300" s="44"/>
      <c r="I2300" s="44"/>
      <c r="K2300" s="44"/>
    </row>
    <row r="2301" spans="1:11" x14ac:dyDescent="0.2">
      <c r="A2301" s="43"/>
      <c r="H2301" s="44"/>
      <c r="I2301" s="44"/>
      <c r="K2301" s="44"/>
    </row>
    <row r="2302" spans="1:11" x14ac:dyDescent="0.2">
      <c r="A2302" s="43"/>
      <c r="H2302" s="44"/>
      <c r="I2302" s="44"/>
      <c r="K2302" s="44"/>
    </row>
    <row r="2303" spans="1:11" x14ac:dyDescent="0.2">
      <c r="A2303" s="43"/>
      <c r="H2303" s="44"/>
      <c r="I2303" s="44"/>
      <c r="K2303" s="44"/>
    </row>
    <row r="2304" spans="1:11" x14ac:dyDescent="0.2">
      <c r="A2304" s="43"/>
      <c r="H2304" s="44"/>
      <c r="I2304" s="44"/>
      <c r="K2304" s="44"/>
    </row>
    <row r="2305" spans="1:11" x14ac:dyDescent="0.2">
      <c r="A2305" s="43"/>
      <c r="H2305" s="44"/>
      <c r="I2305" s="44"/>
      <c r="K2305" s="44"/>
    </row>
    <row r="2306" spans="1:11" x14ac:dyDescent="0.2">
      <c r="A2306" s="43"/>
      <c r="H2306" s="44"/>
      <c r="I2306" s="44"/>
      <c r="K2306" s="44"/>
    </row>
    <row r="2307" spans="1:11" x14ac:dyDescent="0.2">
      <c r="A2307" s="43"/>
      <c r="H2307" s="44"/>
      <c r="I2307" s="44"/>
      <c r="K2307" s="44"/>
    </row>
    <row r="2308" spans="1:11" x14ac:dyDescent="0.2">
      <c r="A2308" s="43"/>
      <c r="H2308" s="44"/>
      <c r="I2308" s="44"/>
      <c r="K2308" s="44"/>
    </row>
    <row r="2309" spans="1:11" x14ac:dyDescent="0.2">
      <c r="A2309" s="43"/>
      <c r="H2309" s="44"/>
      <c r="I2309" s="44"/>
      <c r="K2309" s="44"/>
    </row>
    <row r="2310" spans="1:11" x14ac:dyDescent="0.2">
      <c r="A2310" s="43"/>
      <c r="H2310" s="44"/>
      <c r="I2310" s="44"/>
      <c r="K2310" s="44"/>
    </row>
    <row r="2311" spans="1:11" x14ac:dyDescent="0.2">
      <c r="A2311" s="43"/>
      <c r="H2311" s="44"/>
      <c r="I2311" s="44"/>
      <c r="K2311" s="44"/>
    </row>
    <row r="2312" spans="1:11" x14ac:dyDescent="0.2">
      <c r="A2312" s="43"/>
      <c r="H2312" s="44"/>
      <c r="I2312" s="44"/>
      <c r="K2312" s="44"/>
    </row>
    <row r="2313" spans="1:11" x14ac:dyDescent="0.2">
      <c r="A2313" s="43"/>
      <c r="H2313" s="44"/>
      <c r="I2313" s="44"/>
      <c r="K2313" s="44"/>
    </row>
    <row r="2314" spans="1:11" x14ac:dyDescent="0.2">
      <c r="A2314" s="43"/>
      <c r="H2314" s="44"/>
      <c r="I2314" s="44"/>
      <c r="K2314" s="44"/>
    </row>
    <row r="2315" spans="1:11" x14ac:dyDescent="0.2">
      <c r="A2315" s="43"/>
      <c r="H2315" s="44"/>
      <c r="I2315" s="44"/>
      <c r="K2315" s="44"/>
    </row>
    <row r="2316" spans="1:11" x14ac:dyDescent="0.2">
      <c r="A2316" s="43"/>
      <c r="H2316" s="44"/>
      <c r="I2316" s="44"/>
      <c r="K2316" s="44"/>
    </row>
    <row r="2317" spans="1:11" x14ac:dyDescent="0.2">
      <c r="A2317" s="43"/>
      <c r="H2317" s="44"/>
      <c r="I2317" s="44"/>
      <c r="K2317" s="44"/>
    </row>
    <row r="2318" spans="1:11" x14ac:dyDescent="0.2">
      <c r="A2318" s="43"/>
      <c r="H2318" s="44"/>
      <c r="I2318" s="44"/>
      <c r="K2318" s="44"/>
    </row>
    <row r="2319" spans="1:11" x14ac:dyDescent="0.2">
      <c r="A2319" s="43"/>
      <c r="H2319" s="44"/>
      <c r="I2319" s="44"/>
      <c r="K2319" s="44"/>
    </row>
    <row r="2320" spans="1:11" x14ac:dyDescent="0.2">
      <c r="A2320" s="43"/>
      <c r="H2320" s="44"/>
      <c r="I2320" s="44"/>
      <c r="K2320" s="44"/>
    </row>
    <row r="2321" spans="1:11" x14ac:dyDescent="0.2">
      <c r="A2321" s="43"/>
      <c r="H2321" s="44"/>
      <c r="I2321" s="44"/>
      <c r="K2321" s="44"/>
    </row>
    <row r="2322" spans="1:11" x14ac:dyDescent="0.2">
      <c r="A2322" s="43"/>
      <c r="H2322" s="44"/>
      <c r="I2322" s="44"/>
      <c r="K2322" s="44"/>
    </row>
    <row r="2323" spans="1:11" x14ac:dyDescent="0.2">
      <c r="A2323" s="43"/>
      <c r="H2323" s="44"/>
      <c r="I2323" s="44"/>
      <c r="K2323" s="44"/>
    </row>
    <row r="2324" spans="1:11" x14ac:dyDescent="0.2">
      <c r="A2324" s="43"/>
      <c r="H2324" s="44"/>
      <c r="I2324" s="44"/>
      <c r="K2324" s="44"/>
    </row>
    <row r="2325" spans="1:11" x14ac:dyDescent="0.2">
      <c r="A2325" s="43"/>
      <c r="H2325" s="44"/>
      <c r="I2325" s="44"/>
      <c r="K2325" s="44"/>
    </row>
    <row r="2326" spans="1:11" x14ac:dyDescent="0.2">
      <c r="A2326" s="43"/>
      <c r="H2326" s="44"/>
      <c r="I2326" s="44"/>
      <c r="K2326" s="44"/>
    </row>
    <row r="2327" spans="1:11" x14ac:dyDescent="0.2">
      <c r="A2327" s="43"/>
      <c r="H2327" s="44"/>
      <c r="I2327" s="44"/>
      <c r="K2327" s="44"/>
    </row>
    <row r="2328" spans="1:11" x14ac:dyDescent="0.2">
      <c r="A2328" s="43"/>
      <c r="H2328" s="44"/>
      <c r="I2328" s="44"/>
      <c r="K2328" s="44"/>
    </row>
    <row r="2329" spans="1:11" x14ac:dyDescent="0.2">
      <c r="A2329" s="43"/>
      <c r="H2329" s="44"/>
      <c r="I2329" s="44"/>
      <c r="K2329" s="44"/>
    </row>
    <row r="2330" spans="1:11" x14ac:dyDescent="0.2">
      <c r="A2330" s="43"/>
      <c r="H2330" s="44"/>
      <c r="I2330" s="44"/>
      <c r="K2330" s="44"/>
    </row>
    <row r="2331" spans="1:11" x14ac:dyDescent="0.2">
      <c r="A2331" s="43"/>
      <c r="H2331" s="44"/>
      <c r="I2331" s="44"/>
      <c r="K2331" s="44"/>
    </row>
    <row r="2332" spans="1:11" x14ac:dyDescent="0.2">
      <c r="A2332" s="43"/>
      <c r="H2332" s="44"/>
      <c r="I2332" s="44"/>
      <c r="K2332" s="44"/>
    </row>
    <row r="2333" spans="1:11" x14ac:dyDescent="0.2">
      <c r="A2333" s="43"/>
      <c r="H2333" s="44"/>
      <c r="I2333" s="44"/>
      <c r="K2333" s="44"/>
    </row>
    <row r="2334" spans="1:11" x14ac:dyDescent="0.2">
      <c r="A2334" s="43"/>
      <c r="H2334" s="44"/>
      <c r="I2334" s="44"/>
      <c r="K2334" s="44"/>
    </row>
    <row r="2335" spans="1:11" x14ac:dyDescent="0.2">
      <c r="A2335" s="43"/>
      <c r="H2335" s="44"/>
      <c r="I2335" s="44"/>
      <c r="K2335" s="44"/>
    </row>
    <row r="2336" spans="1:11" x14ac:dyDescent="0.2">
      <c r="A2336" s="43"/>
      <c r="H2336" s="44"/>
      <c r="I2336" s="44"/>
      <c r="K2336" s="44"/>
    </row>
    <row r="2337" spans="1:11" x14ac:dyDescent="0.2">
      <c r="A2337" s="43"/>
      <c r="H2337" s="44"/>
      <c r="I2337" s="44"/>
      <c r="K2337" s="44"/>
    </row>
    <row r="2338" spans="1:11" x14ac:dyDescent="0.2">
      <c r="A2338" s="43"/>
      <c r="H2338" s="44"/>
      <c r="I2338" s="44"/>
      <c r="K2338" s="44"/>
    </row>
    <row r="2339" spans="1:11" x14ac:dyDescent="0.2">
      <c r="A2339" s="43"/>
      <c r="H2339" s="44"/>
      <c r="I2339" s="44"/>
      <c r="K2339" s="44"/>
    </row>
    <row r="2340" spans="1:11" x14ac:dyDescent="0.2">
      <c r="A2340" s="43"/>
      <c r="H2340" s="44"/>
      <c r="I2340" s="44"/>
      <c r="K2340" s="44"/>
    </row>
    <row r="2341" spans="1:11" x14ac:dyDescent="0.2">
      <c r="A2341" s="43"/>
      <c r="H2341" s="44"/>
      <c r="I2341" s="44"/>
      <c r="K2341" s="44"/>
    </row>
    <row r="2342" spans="1:11" x14ac:dyDescent="0.2">
      <c r="A2342" s="43"/>
      <c r="H2342" s="44"/>
      <c r="I2342" s="44"/>
      <c r="K2342" s="44"/>
    </row>
    <row r="2343" spans="1:11" x14ac:dyDescent="0.2">
      <c r="A2343" s="43"/>
      <c r="H2343" s="44"/>
      <c r="I2343" s="44"/>
      <c r="K2343" s="44"/>
    </row>
    <row r="2344" spans="1:11" x14ac:dyDescent="0.2">
      <c r="A2344" s="43"/>
      <c r="H2344" s="44"/>
      <c r="I2344" s="44"/>
      <c r="K2344" s="44"/>
    </row>
    <row r="2345" spans="1:11" x14ac:dyDescent="0.2">
      <c r="A2345" s="43"/>
      <c r="H2345" s="44"/>
      <c r="I2345" s="44"/>
      <c r="K2345" s="44"/>
    </row>
    <row r="2346" spans="1:11" x14ac:dyDescent="0.2">
      <c r="A2346" s="43"/>
      <c r="H2346" s="44"/>
      <c r="I2346" s="44"/>
      <c r="K2346" s="44"/>
    </row>
    <row r="2347" spans="1:11" x14ac:dyDescent="0.2">
      <c r="A2347" s="43"/>
      <c r="H2347" s="44"/>
      <c r="I2347" s="44"/>
      <c r="K2347" s="44"/>
    </row>
    <row r="2348" spans="1:11" x14ac:dyDescent="0.2">
      <c r="A2348" s="43"/>
      <c r="H2348" s="44"/>
      <c r="I2348" s="44"/>
      <c r="K2348" s="44"/>
    </row>
    <row r="2349" spans="1:11" x14ac:dyDescent="0.2">
      <c r="A2349" s="43"/>
      <c r="H2349" s="44"/>
      <c r="I2349" s="44"/>
      <c r="K2349" s="44"/>
    </row>
    <row r="2350" spans="1:11" x14ac:dyDescent="0.2">
      <c r="A2350" s="43"/>
      <c r="H2350" s="44"/>
      <c r="I2350" s="44"/>
      <c r="K2350" s="44"/>
    </row>
    <row r="2351" spans="1:11" x14ac:dyDescent="0.2">
      <c r="A2351" s="43"/>
      <c r="H2351" s="44"/>
      <c r="I2351" s="44"/>
      <c r="K2351" s="44"/>
    </row>
    <row r="2352" spans="1:11" x14ac:dyDescent="0.2">
      <c r="A2352" s="43"/>
      <c r="H2352" s="44"/>
      <c r="I2352" s="44"/>
      <c r="K2352" s="44"/>
    </row>
    <row r="2353" spans="1:11" x14ac:dyDescent="0.2">
      <c r="A2353" s="43"/>
      <c r="H2353" s="44"/>
      <c r="I2353" s="44"/>
      <c r="K2353" s="4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7"/>
  <sheetViews>
    <sheetView zoomScale="150" zoomScaleNormal="150" workbookViewId="0">
      <selection activeCell="A2" sqref="A2"/>
    </sheetView>
  </sheetViews>
  <sheetFormatPr defaultColWidth="8.7109375" defaultRowHeight="12.75" x14ac:dyDescent="0.2"/>
  <cols>
    <col min="1" max="8" width="8.7109375" style="1"/>
    <col min="9" max="9" width="7.42578125" style="1" customWidth="1"/>
    <col min="10" max="10" width="8.7109375" style="1" customWidth="1"/>
    <col min="11" max="11" width="4.42578125" style="19" customWidth="1"/>
    <col min="12" max="12" width="8.7109375" style="19"/>
    <col min="13" max="16384" width="8.7109375" style="1"/>
  </cols>
  <sheetData>
    <row r="1" spans="1:12" x14ac:dyDescent="0.2">
      <c r="A1" s="7" t="s">
        <v>12</v>
      </c>
      <c r="B1" s="8"/>
      <c r="C1" s="8"/>
      <c r="D1" s="8"/>
      <c r="E1" s="8"/>
      <c r="F1" s="8"/>
      <c r="G1" s="8"/>
      <c r="H1" s="8"/>
      <c r="I1" s="8"/>
      <c r="J1" s="8"/>
      <c r="K1" s="53"/>
      <c r="L1" s="53"/>
    </row>
    <row r="2" spans="1:12" ht="14.25" x14ac:dyDescent="0.2">
      <c r="A2" s="9" t="s">
        <v>13</v>
      </c>
      <c r="B2" s="8"/>
      <c r="C2" s="8"/>
      <c r="D2" s="8"/>
      <c r="E2" s="8"/>
      <c r="F2" s="8"/>
      <c r="G2" s="8"/>
      <c r="H2" s="8"/>
      <c r="I2" s="8"/>
      <c r="J2" s="8"/>
      <c r="K2" s="53"/>
      <c r="L2" s="53"/>
    </row>
    <row r="3" spans="1:12" x14ac:dyDescent="0.2">
      <c r="A3" s="10"/>
      <c r="B3" s="10"/>
      <c r="C3" s="10"/>
      <c r="D3" s="10"/>
      <c r="E3" s="10"/>
      <c r="F3" s="10"/>
      <c r="G3" s="10"/>
      <c r="H3" s="10"/>
      <c r="I3" s="10"/>
      <c r="J3" s="10"/>
      <c r="K3" s="53"/>
      <c r="L3" s="53"/>
    </row>
    <row r="4" spans="1:12" x14ac:dyDescent="0.2">
      <c r="A4" s="10"/>
      <c r="B4" s="10"/>
      <c r="C4" s="10"/>
      <c r="D4" s="10"/>
      <c r="E4" s="10"/>
      <c r="F4" s="10"/>
      <c r="G4" s="10"/>
      <c r="H4" s="10"/>
      <c r="I4" s="10"/>
      <c r="J4" s="10"/>
      <c r="K4" s="53"/>
      <c r="L4" s="53"/>
    </row>
    <row r="5" spans="1:12" x14ac:dyDescent="0.2">
      <c r="A5" s="10"/>
      <c r="B5" s="10"/>
      <c r="C5" s="10"/>
      <c r="D5" s="10"/>
      <c r="E5" s="10"/>
      <c r="F5" s="10"/>
      <c r="G5" s="10"/>
      <c r="H5" s="10"/>
      <c r="I5" s="10"/>
      <c r="J5" s="10"/>
      <c r="K5" s="53"/>
      <c r="L5" s="53"/>
    </row>
    <row r="6" spans="1:12" x14ac:dyDescent="0.2">
      <c r="A6" s="10"/>
      <c r="B6" s="10"/>
      <c r="C6" s="10"/>
      <c r="D6" s="10"/>
      <c r="E6" s="10"/>
      <c r="F6" s="10"/>
      <c r="G6" s="10"/>
      <c r="H6" s="10"/>
      <c r="I6" s="10"/>
      <c r="J6" s="10"/>
      <c r="K6" s="53"/>
      <c r="L6" s="53"/>
    </row>
    <row r="7" spans="1:12" x14ac:dyDescent="0.2">
      <c r="A7" s="10"/>
      <c r="B7" s="10"/>
      <c r="C7" s="10"/>
      <c r="D7" s="10"/>
      <c r="E7" s="10"/>
      <c r="F7" s="10"/>
      <c r="G7" s="10"/>
      <c r="H7" s="10"/>
      <c r="I7" s="10"/>
      <c r="J7" s="10"/>
      <c r="K7" s="53"/>
      <c r="L7" s="53"/>
    </row>
    <row r="8" spans="1:12" x14ac:dyDescent="0.2">
      <c r="A8" s="10"/>
      <c r="B8" s="10"/>
      <c r="C8" s="10"/>
      <c r="D8" s="10"/>
      <c r="E8" s="10"/>
      <c r="F8" s="10"/>
      <c r="G8" s="10"/>
      <c r="H8" s="10"/>
      <c r="I8" s="10"/>
      <c r="J8" s="10"/>
      <c r="K8" s="53"/>
      <c r="L8" s="53"/>
    </row>
    <row r="9" spans="1:12" x14ac:dyDescent="0.2">
      <c r="A9" s="10"/>
      <c r="B9" s="10"/>
      <c r="C9" s="10"/>
      <c r="D9" s="10"/>
      <c r="E9" s="10"/>
      <c r="F9" s="10"/>
      <c r="G9" s="10"/>
      <c r="H9" s="10"/>
      <c r="I9" s="10"/>
      <c r="J9" s="10"/>
      <c r="K9" s="53"/>
      <c r="L9" s="53"/>
    </row>
    <row r="10" spans="1:12" x14ac:dyDescent="0.2">
      <c r="A10" s="10"/>
      <c r="B10" s="10"/>
      <c r="C10" s="10"/>
      <c r="D10" s="10"/>
      <c r="E10" s="10"/>
      <c r="F10" s="10"/>
      <c r="G10" s="10"/>
      <c r="H10" s="10"/>
      <c r="I10" s="10"/>
      <c r="J10" s="10"/>
      <c r="K10" s="53"/>
      <c r="L10" s="53"/>
    </row>
    <row r="11" spans="1:12" x14ac:dyDescent="0.2">
      <c r="A11" s="10"/>
      <c r="B11" s="10"/>
      <c r="C11" s="10"/>
      <c r="D11" s="10"/>
      <c r="E11" s="10"/>
      <c r="F11" s="10"/>
      <c r="G11" s="10"/>
      <c r="H11" s="10"/>
      <c r="I11" s="10"/>
      <c r="J11" s="10"/>
      <c r="K11" s="53"/>
      <c r="L11" s="53"/>
    </row>
    <row r="12" spans="1:12" x14ac:dyDescent="0.2">
      <c r="A12" s="10"/>
      <c r="B12" s="10"/>
      <c r="C12" s="10"/>
      <c r="D12" s="10"/>
      <c r="E12" s="10"/>
      <c r="F12" s="10"/>
      <c r="G12" s="10"/>
      <c r="H12" s="10"/>
      <c r="I12" s="10"/>
      <c r="J12" s="10"/>
      <c r="K12" s="53"/>
      <c r="L12" s="53"/>
    </row>
    <row r="13" spans="1:12" x14ac:dyDescent="0.2">
      <c r="A13" s="10"/>
      <c r="B13" s="10"/>
      <c r="C13" s="10"/>
      <c r="D13" s="10"/>
      <c r="E13" s="10"/>
      <c r="F13" s="10"/>
      <c r="G13" s="10"/>
      <c r="H13" s="10"/>
      <c r="I13" s="10"/>
      <c r="J13" s="10"/>
      <c r="K13" s="53"/>
      <c r="L13" s="53"/>
    </row>
    <row r="14" spans="1:12" x14ac:dyDescent="0.2">
      <c r="A14" s="10"/>
      <c r="B14" s="10"/>
      <c r="C14" s="10"/>
      <c r="D14" s="10"/>
      <c r="E14" s="10"/>
      <c r="F14" s="10"/>
      <c r="G14" s="10"/>
      <c r="H14" s="10"/>
      <c r="I14" s="10"/>
      <c r="J14" s="10"/>
      <c r="K14" s="53"/>
      <c r="L14" s="53"/>
    </row>
    <row r="15" spans="1:12" x14ac:dyDescent="0.2">
      <c r="A15" s="10"/>
      <c r="B15" s="10"/>
      <c r="C15" s="10"/>
      <c r="D15" s="10"/>
      <c r="E15" s="10"/>
      <c r="F15" s="10"/>
      <c r="G15" s="10"/>
      <c r="H15" s="10"/>
      <c r="I15" s="10"/>
      <c r="J15" s="10"/>
      <c r="K15" s="53"/>
      <c r="L15" s="53"/>
    </row>
    <row r="16" spans="1:12" x14ac:dyDescent="0.2">
      <c r="A16" s="10"/>
      <c r="B16" s="10"/>
      <c r="C16" s="10"/>
      <c r="D16" s="10"/>
      <c r="E16" s="10"/>
      <c r="F16" s="10"/>
      <c r="G16" s="10"/>
      <c r="H16" s="10"/>
      <c r="I16" s="10"/>
      <c r="J16" s="10"/>
      <c r="K16" s="53"/>
      <c r="L16" s="53"/>
    </row>
    <row r="17" spans="1:12" x14ac:dyDescent="0.2">
      <c r="A17" s="10"/>
      <c r="B17" s="10"/>
      <c r="C17" s="10"/>
      <c r="D17" s="10"/>
      <c r="E17" s="10"/>
      <c r="F17" s="10"/>
      <c r="G17" s="10"/>
      <c r="H17" s="10"/>
      <c r="I17" s="10"/>
      <c r="J17" s="10"/>
      <c r="K17" s="53"/>
      <c r="L17" s="53"/>
    </row>
    <row r="18" spans="1:12" x14ac:dyDescent="0.2">
      <c r="A18" s="10"/>
      <c r="B18" s="10"/>
      <c r="C18" s="10"/>
      <c r="D18" s="10"/>
      <c r="E18" s="10"/>
      <c r="F18" s="10"/>
      <c r="G18" s="10"/>
      <c r="H18" s="10"/>
      <c r="I18" s="10"/>
      <c r="J18" s="10"/>
      <c r="K18" s="53"/>
      <c r="L18" s="53"/>
    </row>
    <row r="19" spans="1:12" x14ac:dyDescent="0.2">
      <c r="A19" s="10"/>
      <c r="B19" s="10"/>
      <c r="C19" s="10"/>
      <c r="D19" s="10"/>
      <c r="E19" s="10"/>
      <c r="F19" s="10"/>
      <c r="G19" s="10"/>
      <c r="H19" s="10"/>
      <c r="I19" s="10"/>
      <c r="J19" s="10"/>
      <c r="K19" s="53"/>
      <c r="L19" s="53"/>
    </row>
    <row r="20" spans="1:12" x14ac:dyDescent="0.2">
      <c r="A20" s="10"/>
      <c r="B20" s="10"/>
      <c r="C20" s="10"/>
      <c r="D20" s="10"/>
      <c r="E20" s="10"/>
      <c r="F20" s="10"/>
      <c r="G20" s="10"/>
      <c r="H20" s="10"/>
      <c r="I20" s="10"/>
      <c r="J20" s="10"/>
      <c r="K20" s="53"/>
      <c r="L20" s="53"/>
    </row>
    <row r="21" spans="1:12" x14ac:dyDescent="0.2">
      <c r="A21" s="10"/>
      <c r="B21" s="10"/>
      <c r="C21" s="10"/>
      <c r="D21" s="10"/>
      <c r="E21" s="10"/>
      <c r="F21" s="10"/>
      <c r="G21" s="10"/>
      <c r="H21" s="10"/>
      <c r="I21" s="10"/>
      <c r="J21" s="10"/>
      <c r="K21" s="53"/>
      <c r="L21" s="53"/>
    </row>
    <row r="22" spans="1:12" ht="30" customHeight="1" x14ac:dyDescent="0.2">
      <c r="A22" s="73" t="s">
        <v>14</v>
      </c>
      <c r="B22" s="73"/>
      <c r="C22" s="73"/>
      <c r="D22" s="73"/>
      <c r="E22" s="73"/>
      <c r="F22" s="73"/>
      <c r="G22" s="73"/>
      <c r="H22" s="73"/>
      <c r="I22" s="73"/>
      <c r="J22" s="73"/>
      <c r="K22" s="53"/>
      <c r="L22" s="53"/>
    </row>
    <row r="23" spans="1:12" x14ac:dyDescent="0.2">
      <c r="A23" s="66" t="s">
        <v>15</v>
      </c>
      <c r="B23" s="53"/>
      <c r="C23" s="53"/>
      <c r="D23" s="53"/>
      <c r="E23" s="53"/>
      <c r="F23" s="53"/>
      <c r="G23" s="53"/>
      <c r="H23" s="53"/>
      <c r="I23" s="53"/>
      <c r="J23" s="53"/>
      <c r="K23" s="53"/>
      <c r="L23" s="53"/>
    </row>
    <row r="24" spans="1:12" x14ac:dyDescent="0.2">
      <c r="A24" s="53"/>
      <c r="B24" s="53"/>
      <c r="C24" s="53"/>
      <c r="D24" s="53"/>
      <c r="E24" s="53"/>
      <c r="F24" s="53"/>
      <c r="G24" s="53"/>
      <c r="H24" s="53"/>
      <c r="I24" s="53"/>
      <c r="J24" s="53"/>
      <c r="K24" s="53"/>
      <c r="L24" s="53"/>
    </row>
    <row r="25" spans="1:12" x14ac:dyDescent="0.2">
      <c r="A25" s="53"/>
      <c r="B25" s="53"/>
      <c r="C25" s="53"/>
      <c r="D25" s="53"/>
      <c r="E25" s="53"/>
      <c r="F25" s="53"/>
      <c r="G25" s="53"/>
      <c r="H25" s="53"/>
      <c r="I25" s="53"/>
      <c r="J25" s="53"/>
      <c r="K25" s="53"/>
      <c r="L25" s="53"/>
    </row>
    <row r="26" spans="1:12" x14ac:dyDescent="0.2">
      <c r="A26" s="53"/>
      <c r="B26" s="53"/>
      <c r="C26" s="53"/>
      <c r="D26" s="53"/>
      <c r="E26" s="53"/>
      <c r="F26" s="53"/>
      <c r="G26" s="53"/>
      <c r="H26" s="53"/>
      <c r="I26" s="53"/>
      <c r="J26" s="53"/>
      <c r="K26" s="53"/>
      <c r="L26" s="53"/>
    </row>
    <row r="27" spans="1:12" x14ac:dyDescent="0.2">
      <c r="A27" s="53"/>
      <c r="B27" s="53"/>
      <c r="C27" s="53"/>
      <c r="D27" s="53"/>
      <c r="E27" s="53"/>
      <c r="F27" s="53"/>
      <c r="G27" s="53"/>
      <c r="H27" s="53"/>
      <c r="I27" s="53"/>
      <c r="J27" s="53"/>
      <c r="K27" s="53"/>
      <c r="L27" s="53"/>
    </row>
  </sheetData>
  <mergeCells count="1">
    <mergeCell ref="A22:J22"/>
  </mergeCells>
  <phoneticPr fontId="2" type="noConversion"/>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FC77-791E-476F-BB80-BE106A048185}">
  <dimension ref="C28"/>
  <sheetViews>
    <sheetView tabSelected="1" zoomScaleNormal="100" workbookViewId="0">
      <selection activeCell="G37" sqref="G37"/>
    </sheetView>
  </sheetViews>
  <sheetFormatPr defaultRowHeight="12.75" x14ac:dyDescent="0.2"/>
  <sheetData>
    <row r="28" spans="3:3" x14ac:dyDescent="0.2">
      <c r="C28" s="1" t="str">
        <f>'Figure text'!A1</f>
        <v>For the week ending April 19: 352 barges moved down river, 3 more than the previous week; 575 grain barges unloaded in the New Orleans Region,  22 percent fewer than the previous week.</v>
      </c>
    </row>
  </sheetData>
  <pageMargins left="0.7" right="0.7" top="0.75" bottom="0.75" header="0.3" footer="0.3"/>
  <pageSetup scale="63" orientation="landscape" horizontalDpi="1200" verticalDpi="1200" r:id="rId1"/>
  <colBreaks count="1" manualBreakCount="1">
    <brk id="1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848"/>
  <sheetViews>
    <sheetView zoomScale="85" zoomScaleNormal="85" workbookViewId="0">
      <pane ySplit="6" topLeftCell="A1009" activePane="bottomLeft" state="frozen"/>
      <selection pane="bottomLeft" activeCell="B1025" sqref="B1025:D1025"/>
    </sheetView>
  </sheetViews>
  <sheetFormatPr defaultColWidth="9.28515625" defaultRowHeight="12.75" x14ac:dyDescent="0.2"/>
  <cols>
    <col min="1" max="1" width="14.7109375" style="2" customWidth="1"/>
    <col min="2" max="2" width="11.7109375" style="3" bestFit="1" customWidth="1"/>
    <col min="3" max="3" width="11.42578125" style="3" bestFit="1" customWidth="1"/>
    <col min="4" max="4" width="12.7109375" style="3" bestFit="1" customWidth="1"/>
    <col min="5" max="5" width="11.28515625" style="3" bestFit="1" customWidth="1"/>
    <col min="6" max="6" width="16.42578125" style="3" bestFit="1" customWidth="1"/>
    <col min="7" max="7" width="17.7109375" style="3" bestFit="1" customWidth="1"/>
    <col min="8" max="8" width="12.7109375" style="49" bestFit="1" customWidth="1"/>
    <col min="9" max="9" width="11.7109375" style="57" customWidth="1"/>
    <col min="10" max="10" width="14" style="30" bestFit="1" customWidth="1"/>
    <col min="11" max="11" width="14.42578125" bestFit="1" customWidth="1"/>
    <col min="12" max="12" width="12.28515625" style="4" bestFit="1" customWidth="1"/>
    <col min="13" max="13" width="7.28515625" style="2" customWidth="1"/>
    <col min="14" max="14" width="6.42578125" style="2" customWidth="1"/>
    <col min="15" max="15" width="13.7109375" style="2" customWidth="1"/>
    <col min="16" max="18" width="9.28515625" style="2"/>
    <col min="19" max="19" width="11.5703125" style="2" bestFit="1" customWidth="1"/>
    <col min="20" max="16384" width="9.28515625" style="2"/>
  </cols>
  <sheetData>
    <row r="1" spans="1:13" ht="29.25" customHeight="1" x14ac:dyDescent="0.25">
      <c r="A1" s="74" t="s">
        <v>50</v>
      </c>
      <c r="B1" s="74"/>
      <c r="C1" s="74"/>
      <c r="D1" s="74"/>
      <c r="E1" s="74"/>
      <c r="F1" s="74"/>
      <c r="G1" s="74"/>
      <c r="H1" s="50"/>
      <c r="I1" s="54"/>
      <c r="J1" s="59"/>
      <c r="K1" s="22"/>
    </row>
    <row r="2" spans="1:13" x14ac:dyDescent="0.2">
      <c r="A2" s="75" t="s">
        <v>16</v>
      </c>
      <c r="B2" s="75"/>
      <c r="C2" s="75"/>
      <c r="D2" s="75"/>
      <c r="E2" s="75"/>
      <c r="F2" s="75"/>
      <c r="G2" s="75"/>
      <c r="H2" s="75"/>
      <c r="I2" s="75"/>
      <c r="J2" s="75"/>
      <c r="K2" s="75"/>
    </row>
    <row r="3" spans="1:13" x14ac:dyDescent="0.2">
      <c r="A3" s="75"/>
      <c r="B3" s="75"/>
      <c r="C3" s="75"/>
      <c r="D3" s="75"/>
      <c r="E3" s="75"/>
      <c r="F3" s="75"/>
      <c r="G3" s="75"/>
      <c r="H3" s="75"/>
      <c r="I3" s="75"/>
      <c r="J3" s="75"/>
      <c r="K3" s="75"/>
    </row>
    <row r="4" spans="1:13" ht="15.75" customHeight="1" x14ac:dyDescent="0.2">
      <c r="A4" s="23"/>
      <c r="B4" s="23"/>
      <c r="C4" s="23"/>
      <c r="D4" s="23"/>
      <c r="E4" s="23"/>
      <c r="F4" s="23"/>
      <c r="G4" s="23"/>
      <c r="H4" s="51"/>
      <c r="I4" s="55"/>
      <c r="J4" s="60"/>
      <c r="K4" s="23"/>
    </row>
    <row r="5" spans="1:13" ht="15.75" customHeight="1" x14ac:dyDescent="0.25">
      <c r="A5" s="22" t="s">
        <v>17</v>
      </c>
      <c r="B5" s="22"/>
      <c r="C5" s="22"/>
      <c r="D5" s="22"/>
      <c r="E5" s="22"/>
      <c r="F5" s="22"/>
      <c r="G5" s="22"/>
      <c r="H5" s="50"/>
      <c r="I5" s="54"/>
      <c r="J5" s="59"/>
      <c r="K5" s="22"/>
    </row>
    <row r="6" spans="1:13" ht="78.75" customHeight="1" x14ac:dyDescent="0.2">
      <c r="A6" s="27" t="s">
        <v>0</v>
      </c>
      <c r="B6" s="47" t="s">
        <v>18</v>
      </c>
      <c r="C6" s="46" t="s">
        <v>19</v>
      </c>
      <c r="D6" s="46" t="s">
        <v>20</v>
      </c>
      <c r="E6" s="6" t="s">
        <v>21</v>
      </c>
      <c r="F6" s="46" t="s">
        <v>22</v>
      </c>
      <c r="G6" s="6" t="s">
        <v>23</v>
      </c>
      <c r="H6" s="38" t="s">
        <v>24</v>
      </c>
      <c r="I6" s="56" t="s">
        <v>25</v>
      </c>
      <c r="J6" s="61" t="s">
        <v>26</v>
      </c>
      <c r="K6" s="6" t="s">
        <v>27</v>
      </c>
      <c r="L6" s="6" t="s">
        <v>28</v>
      </c>
      <c r="M6" s="6" t="s">
        <v>29</v>
      </c>
    </row>
    <row r="7" spans="1:13" ht="14.25" x14ac:dyDescent="0.2">
      <c r="A7" s="20">
        <v>38640</v>
      </c>
      <c r="B7" s="28">
        <v>267</v>
      </c>
      <c r="C7" s="3">
        <v>48</v>
      </c>
      <c r="D7" s="3">
        <v>95</v>
      </c>
      <c r="E7" s="11">
        <f t="shared" ref="E7:E21" si="0">SUM(B7:D7)</f>
        <v>410</v>
      </c>
      <c r="F7" s="11">
        <v>765</v>
      </c>
      <c r="G7" s="3">
        <f>F7-E7</f>
        <v>355</v>
      </c>
      <c r="L7" s="3"/>
    </row>
    <row r="8" spans="1:13" ht="14.25" x14ac:dyDescent="0.2">
      <c r="A8" s="20">
        <f>7+A7</f>
        <v>38647</v>
      </c>
      <c r="B8" s="28">
        <v>313</v>
      </c>
      <c r="C8" s="3">
        <v>27</v>
      </c>
      <c r="D8" s="3">
        <v>65</v>
      </c>
      <c r="E8" s="11">
        <f t="shared" si="0"/>
        <v>405</v>
      </c>
      <c r="F8" s="11">
        <v>735</v>
      </c>
      <c r="G8" s="3">
        <f t="shared" ref="G8:G40" si="1">F8-E8</f>
        <v>330</v>
      </c>
      <c r="H8" s="49">
        <f t="shared" ref="H8:H54" si="2">(F8-F7)/F7</f>
        <v>-3.9215686274509803E-2</v>
      </c>
      <c r="I8" s="57">
        <f t="shared" ref="I8:I21" si="3">(E8-E7)/E7</f>
        <v>-1.2195121951219513E-2</v>
      </c>
      <c r="J8" s="30">
        <f t="shared" ref="J8:J21" si="4">E8-E7</f>
        <v>-5</v>
      </c>
      <c r="L8" s="3"/>
    </row>
    <row r="9" spans="1:13" ht="14.25" x14ac:dyDescent="0.2">
      <c r="A9" s="20">
        <f>7+A8</f>
        <v>38654</v>
      </c>
      <c r="B9" s="28">
        <v>242</v>
      </c>
      <c r="C9" s="3">
        <v>27</v>
      </c>
      <c r="D9" s="3">
        <v>79</v>
      </c>
      <c r="E9" s="11">
        <f t="shared" si="0"/>
        <v>348</v>
      </c>
      <c r="F9" s="11">
        <v>728</v>
      </c>
      <c r="G9" s="3">
        <f t="shared" si="1"/>
        <v>380</v>
      </c>
      <c r="H9" s="49">
        <f t="shared" si="2"/>
        <v>-9.5238095238095247E-3</v>
      </c>
      <c r="I9" s="57">
        <f t="shared" si="3"/>
        <v>-0.14074074074074075</v>
      </c>
      <c r="J9" s="30">
        <f t="shared" si="4"/>
        <v>-57</v>
      </c>
      <c r="L9" s="3"/>
    </row>
    <row r="10" spans="1:13" ht="14.25" x14ac:dyDescent="0.2">
      <c r="A10" s="20">
        <f>7+A9</f>
        <v>38661</v>
      </c>
      <c r="B10" s="28">
        <v>314</v>
      </c>
      <c r="C10" s="3">
        <v>43</v>
      </c>
      <c r="D10" s="3">
        <v>79</v>
      </c>
      <c r="E10" s="11">
        <f t="shared" si="0"/>
        <v>436</v>
      </c>
      <c r="F10" s="11">
        <v>586</v>
      </c>
      <c r="G10" s="3">
        <f t="shared" si="1"/>
        <v>150</v>
      </c>
      <c r="H10" s="49">
        <f t="shared" si="2"/>
        <v>-0.19505494505494506</v>
      </c>
      <c r="I10" s="57">
        <f t="shared" si="3"/>
        <v>0.25287356321839083</v>
      </c>
      <c r="J10" s="30">
        <f t="shared" si="4"/>
        <v>88</v>
      </c>
      <c r="L10" s="3"/>
    </row>
    <row r="11" spans="1:13" ht="14.25" x14ac:dyDescent="0.2">
      <c r="A11" s="20">
        <f>7+A10</f>
        <v>38668</v>
      </c>
      <c r="B11" s="28">
        <v>357</v>
      </c>
      <c r="C11" s="3">
        <v>18</v>
      </c>
      <c r="D11" s="3">
        <v>87</v>
      </c>
      <c r="E11" s="11">
        <f t="shared" si="0"/>
        <v>462</v>
      </c>
      <c r="F11" s="11">
        <v>577</v>
      </c>
      <c r="G11" s="3">
        <f t="shared" si="1"/>
        <v>115</v>
      </c>
      <c r="H11" s="49">
        <f t="shared" si="2"/>
        <v>-1.5358361774744027E-2</v>
      </c>
      <c r="I11" s="57">
        <f t="shared" si="3"/>
        <v>5.9633027522935783E-2</v>
      </c>
      <c r="J11" s="30">
        <f t="shared" si="4"/>
        <v>26</v>
      </c>
      <c r="L11" s="3"/>
    </row>
    <row r="12" spans="1:13" ht="14.25" x14ac:dyDescent="0.2">
      <c r="A12" s="20">
        <f t="shared" ref="A12:A23" si="5">7+A11</f>
        <v>38675</v>
      </c>
      <c r="B12" s="28">
        <v>414</v>
      </c>
      <c r="C12" s="3">
        <v>45</v>
      </c>
      <c r="D12" s="3">
        <v>94</v>
      </c>
      <c r="E12" s="11">
        <f t="shared" si="0"/>
        <v>553</v>
      </c>
      <c r="F12" s="11">
        <v>565</v>
      </c>
      <c r="G12" s="3">
        <f t="shared" si="1"/>
        <v>12</v>
      </c>
      <c r="H12" s="49">
        <f t="shared" si="2"/>
        <v>-2.0797227036395149E-2</v>
      </c>
      <c r="I12" s="57">
        <f t="shared" si="3"/>
        <v>0.19696969696969696</v>
      </c>
      <c r="J12" s="30">
        <f t="shared" si="4"/>
        <v>91</v>
      </c>
      <c r="L12" s="3"/>
    </row>
    <row r="13" spans="1:13" ht="14.25" x14ac:dyDescent="0.2">
      <c r="A13" s="20">
        <f t="shared" si="5"/>
        <v>38682</v>
      </c>
      <c r="B13" s="28">
        <v>441</v>
      </c>
      <c r="C13" s="3">
        <v>32</v>
      </c>
      <c r="D13" s="3">
        <v>98</v>
      </c>
      <c r="E13" s="11">
        <f t="shared" si="0"/>
        <v>571</v>
      </c>
      <c r="F13" s="11">
        <v>527</v>
      </c>
      <c r="G13" s="3">
        <f t="shared" si="1"/>
        <v>-44</v>
      </c>
      <c r="H13" s="49">
        <f t="shared" si="2"/>
        <v>-6.7256637168141592E-2</v>
      </c>
      <c r="I13" s="57">
        <f t="shared" si="3"/>
        <v>3.25497287522604E-2</v>
      </c>
      <c r="J13" s="30">
        <f t="shared" si="4"/>
        <v>18</v>
      </c>
      <c r="L13" s="3"/>
    </row>
    <row r="14" spans="1:13" ht="14.25" x14ac:dyDescent="0.2">
      <c r="A14" s="20">
        <f t="shared" si="5"/>
        <v>38689</v>
      </c>
      <c r="B14" s="5">
        <v>412</v>
      </c>
      <c r="C14" s="3">
        <v>38</v>
      </c>
      <c r="D14" s="3">
        <v>79</v>
      </c>
      <c r="E14" s="11">
        <f t="shared" si="0"/>
        <v>529</v>
      </c>
      <c r="F14" s="11">
        <v>621</v>
      </c>
      <c r="G14" s="3">
        <f t="shared" si="1"/>
        <v>92</v>
      </c>
      <c r="H14" s="49">
        <f t="shared" si="2"/>
        <v>0.17836812144212524</v>
      </c>
      <c r="I14" s="57">
        <f t="shared" si="3"/>
        <v>-7.3555166374781086E-2</v>
      </c>
      <c r="J14" s="30">
        <f t="shared" si="4"/>
        <v>-42</v>
      </c>
      <c r="L14" s="3"/>
    </row>
    <row r="15" spans="1:13" ht="14.25" x14ac:dyDescent="0.2">
      <c r="A15" s="20">
        <f t="shared" si="5"/>
        <v>38696</v>
      </c>
      <c r="B15" s="5">
        <v>413</v>
      </c>
      <c r="C15" s="3">
        <v>17</v>
      </c>
      <c r="D15" s="3">
        <v>67</v>
      </c>
      <c r="E15" s="11">
        <f t="shared" si="0"/>
        <v>497</v>
      </c>
      <c r="F15" s="11">
        <v>675</v>
      </c>
      <c r="G15" s="3">
        <f t="shared" si="1"/>
        <v>178</v>
      </c>
      <c r="H15" s="49">
        <f t="shared" si="2"/>
        <v>8.6956521739130432E-2</v>
      </c>
      <c r="I15" s="57">
        <f t="shared" si="3"/>
        <v>-6.0491493383742913E-2</v>
      </c>
      <c r="J15" s="30">
        <f t="shared" si="4"/>
        <v>-32</v>
      </c>
      <c r="L15" s="3"/>
    </row>
    <row r="16" spans="1:13" ht="14.25" x14ac:dyDescent="0.2">
      <c r="A16" s="20">
        <f t="shared" si="5"/>
        <v>38703</v>
      </c>
      <c r="B16" s="5">
        <v>358</v>
      </c>
      <c r="C16" s="3">
        <v>38</v>
      </c>
      <c r="D16" s="3">
        <v>93</v>
      </c>
      <c r="E16" s="11">
        <f t="shared" si="0"/>
        <v>489</v>
      </c>
      <c r="F16" s="11">
        <v>528</v>
      </c>
      <c r="G16" s="3">
        <f t="shared" si="1"/>
        <v>39</v>
      </c>
      <c r="H16" s="49">
        <f t="shared" si="2"/>
        <v>-0.21777777777777776</v>
      </c>
      <c r="I16" s="57">
        <f t="shared" si="3"/>
        <v>-1.6096579476861168E-2</v>
      </c>
      <c r="J16" s="30">
        <f t="shared" si="4"/>
        <v>-8</v>
      </c>
      <c r="L16" s="3"/>
    </row>
    <row r="17" spans="1:12" ht="14.25" x14ac:dyDescent="0.2">
      <c r="A17" s="20">
        <f t="shared" si="5"/>
        <v>38710</v>
      </c>
      <c r="B17" s="5">
        <v>211</v>
      </c>
      <c r="C17" s="3">
        <v>25</v>
      </c>
      <c r="D17" s="3">
        <v>148</v>
      </c>
      <c r="E17" s="11">
        <f t="shared" si="0"/>
        <v>384</v>
      </c>
      <c r="F17" s="11">
        <v>436</v>
      </c>
      <c r="G17" s="3">
        <f t="shared" si="1"/>
        <v>52</v>
      </c>
      <c r="H17" s="49">
        <f t="shared" si="2"/>
        <v>-0.17424242424242425</v>
      </c>
      <c r="I17" s="57">
        <f t="shared" si="3"/>
        <v>-0.21472392638036811</v>
      </c>
      <c r="J17" s="30">
        <f t="shared" si="4"/>
        <v>-105</v>
      </c>
      <c r="L17" s="3"/>
    </row>
    <row r="18" spans="1:12" ht="14.25" x14ac:dyDescent="0.2">
      <c r="A18" s="20">
        <f t="shared" si="5"/>
        <v>38717</v>
      </c>
      <c r="B18" s="5">
        <v>262</v>
      </c>
      <c r="C18" s="3">
        <v>36</v>
      </c>
      <c r="D18" s="3">
        <v>156</v>
      </c>
      <c r="E18" s="11">
        <f t="shared" si="0"/>
        <v>454</v>
      </c>
      <c r="F18" s="11">
        <v>510</v>
      </c>
      <c r="G18" s="3">
        <f t="shared" si="1"/>
        <v>56</v>
      </c>
      <c r="H18" s="49">
        <f t="shared" si="2"/>
        <v>0.16972477064220184</v>
      </c>
      <c r="I18" s="57">
        <f t="shared" si="3"/>
        <v>0.18229166666666666</v>
      </c>
      <c r="J18" s="30">
        <f t="shared" si="4"/>
        <v>70</v>
      </c>
      <c r="L18" s="3"/>
    </row>
    <row r="19" spans="1:12" ht="14.25" x14ac:dyDescent="0.2">
      <c r="A19" s="20">
        <f t="shared" si="5"/>
        <v>38724</v>
      </c>
      <c r="B19" s="5">
        <v>190</v>
      </c>
      <c r="C19" s="3">
        <v>30</v>
      </c>
      <c r="D19" s="3">
        <v>172</v>
      </c>
      <c r="E19" s="11">
        <f t="shared" si="0"/>
        <v>392</v>
      </c>
      <c r="F19" s="11">
        <v>640</v>
      </c>
      <c r="G19" s="3">
        <f t="shared" si="1"/>
        <v>248</v>
      </c>
      <c r="H19" s="49">
        <f t="shared" si="2"/>
        <v>0.25490196078431371</v>
      </c>
      <c r="I19" s="57">
        <f t="shared" si="3"/>
        <v>-0.13656387665198239</v>
      </c>
      <c r="J19" s="30">
        <f t="shared" si="4"/>
        <v>-62</v>
      </c>
      <c r="L19" s="3"/>
    </row>
    <row r="20" spans="1:12" ht="14.25" x14ac:dyDescent="0.2">
      <c r="A20" s="20">
        <f t="shared" si="5"/>
        <v>38731</v>
      </c>
      <c r="B20" s="5">
        <v>166</v>
      </c>
      <c r="C20" s="3">
        <v>42</v>
      </c>
      <c r="D20" s="3">
        <v>165</v>
      </c>
      <c r="E20" s="11">
        <f t="shared" si="0"/>
        <v>373</v>
      </c>
      <c r="F20" s="11">
        <v>719</v>
      </c>
      <c r="G20" s="3">
        <f t="shared" si="1"/>
        <v>346</v>
      </c>
      <c r="H20" s="49">
        <f t="shared" si="2"/>
        <v>0.12343750000000001</v>
      </c>
      <c r="I20" s="57">
        <f t="shared" si="3"/>
        <v>-4.8469387755102039E-2</v>
      </c>
      <c r="J20" s="30">
        <f t="shared" si="4"/>
        <v>-19</v>
      </c>
      <c r="L20" s="3"/>
    </row>
    <row r="21" spans="1:12" ht="14.25" x14ac:dyDescent="0.2">
      <c r="A21" s="20">
        <f t="shared" si="5"/>
        <v>38738</v>
      </c>
      <c r="B21" s="5">
        <v>151</v>
      </c>
      <c r="C21" s="3">
        <v>14</v>
      </c>
      <c r="D21" s="3">
        <v>155</v>
      </c>
      <c r="E21" s="11">
        <f t="shared" si="0"/>
        <v>320</v>
      </c>
      <c r="F21" s="11">
        <v>590</v>
      </c>
      <c r="G21" s="3">
        <f t="shared" si="1"/>
        <v>270</v>
      </c>
      <c r="H21" s="49">
        <f t="shared" si="2"/>
        <v>-0.17941585535465926</v>
      </c>
      <c r="I21" s="57">
        <f t="shared" si="3"/>
        <v>-0.14209115281501342</v>
      </c>
      <c r="J21" s="30">
        <f t="shared" si="4"/>
        <v>-53</v>
      </c>
      <c r="L21" s="3"/>
    </row>
    <row r="22" spans="1:12" ht="14.25" x14ac:dyDescent="0.2">
      <c r="A22" s="20">
        <f t="shared" si="5"/>
        <v>38745</v>
      </c>
      <c r="B22" s="5">
        <v>204</v>
      </c>
      <c r="C22" s="3">
        <v>35</v>
      </c>
      <c r="D22" s="3">
        <v>136</v>
      </c>
      <c r="E22" s="11">
        <f>SUM(B22:D22)</f>
        <v>375</v>
      </c>
      <c r="F22" s="11">
        <v>748</v>
      </c>
      <c r="G22" s="3">
        <f t="shared" si="1"/>
        <v>373</v>
      </c>
      <c r="H22" s="49">
        <f t="shared" si="2"/>
        <v>0.26779661016949152</v>
      </c>
      <c r="I22" s="57">
        <f t="shared" ref="I22:I30" si="6">(E22-E21)/E21</f>
        <v>0.171875</v>
      </c>
      <c r="J22" s="30">
        <f t="shared" ref="J22:J30" si="7">E22-E21</f>
        <v>55</v>
      </c>
      <c r="L22" s="3"/>
    </row>
    <row r="23" spans="1:12" ht="14.25" x14ac:dyDescent="0.2">
      <c r="A23" s="20">
        <f t="shared" si="5"/>
        <v>38752</v>
      </c>
      <c r="B23" s="5">
        <v>210</v>
      </c>
      <c r="C23" s="3">
        <v>38</v>
      </c>
      <c r="D23" s="3">
        <v>162</v>
      </c>
      <c r="E23" s="11">
        <f>SUM(B23:D23)</f>
        <v>410</v>
      </c>
      <c r="F23" s="11">
        <v>690</v>
      </c>
      <c r="G23" s="3">
        <f t="shared" si="1"/>
        <v>280</v>
      </c>
      <c r="H23" s="49">
        <f t="shared" si="2"/>
        <v>-7.7540106951871662E-2</v>
      </c>
      <c r="I23" s="57">
        <f t="shared" si="6"/>
        <v>9.3333333333333338E-2</v>
      </c>
      <c r="J23" s="30">
        <f t="shared" si="7"/>
        <v>35</v>
      </c>
      <c r="L23" s="3"/>
    </row>
    <row r="24" spans="1:12" ht="14.25" x14ac:dyDescent="0.2">
      <c r="A24" s="20">
        <f t="shared" ref="A24:A122" si="8">7+A23</f>
        <v>38759</v>
      </c>
      <c r="B24" s="5">
        <v>232</v>
      </c>
      <c r="C24" s="3">
        <v>50</v>
      </c>
      <c r="D24" s="3">
        <v>175</v>
      </c>
      <c r="E24" s="11">
        <f t="shared" ref="E24:E134" si="9">SUM(B24:D24)</f>
        <v>457</v>
      </c>
      <c r="F24" s="11">
        <v>693</v>
      </c>
      <c r="G24" s="3">
        <f t="shared" si="1"/>
        <v>236</v>
      </c>
      <c r="H24" s="49">
        <f t="shared" si="2"/>
        <v>4.3478260869565218E-3</v>
      </c>
      <c r="I24" s="57">
        <f t="shared" si="6"/>
        <v>0.11463414634146342</v>
      </c>
      <c r="J24" s="30">
        <f t="shared" si="7"/>
        <v>47</v>
      </c>
      <c r="L24" s="3"/>
    </row>
    <row r="25" spans="1:12" ht="14.25" x14ac:dyDescent="0.2">
      <c r="A25" s="20">
        <f t="shared" si="8"/>
        <v>38766</v>
      </c>
      <c r="B25" s="5">
        <v>203</v>
      </c>
      <c r="C25" s="3">
        <v>34</v>
      </c>
      <c r="D25" s="3">
        <v>116</v>
      </c>
      <c r="E25" s="11">
        <f t="shared" si="9"/>
        <v>353</v>
      </c>
      <c r="F25" s="11">
        <v>645</v>
      </c>
      <c r="G25" s="3">
        <f t="shared" si="1"/>
        <v>292</v>
      </c>
      <c r="H25" s="49">
        <f t="shared" si="2"/>
        <v>-6.9264069264069264E-2</v>
      </c>
      <c r="I25" s="57">
        <f t="shared" si="6"/>
        <v>-0.2275711159737418</v>
      </c>
      <c r="J25" s="30">
        <f t="shared" si="7"/>
        <v>-104</v>
      </c>
      <c r="L25" s="3"/>
    </row>
    <row r="26" spans="1:12" ht="14.25" x14ac:dyDescent="0.2">
      <c r="A26" s="20">
        <f t="shared" si="8"/>
        <v>38773</v>
      </c>
      <c r="B26" s="5">
        <v>174</v>
      </c>
      <c r="C26" s="3">
        <v>55</v>
      </c>
      <c r="D26" s="3">
        <v>152</v>
      </c>
      <c r="E26" s="11">
        <f t="shared" si="9"/>
        <v>381</v>
      </c>
      <c r="F26" s="11">
        <v>559</v>
      </c>
      <c r="G26" s="3">
        <f t="shared" si="1"/>
        <v>178</v>
      </c>
      <c r="H26" s="49">
        <f t="shared" si="2"/>
        <v>-0.13333333333333333</v>
      </c>
      <c r="I26" s="57">
        <f t="shared" si="6"/>
        <v>7.9320113314447591E-2</v>
      </c>
      <c r="J26" s="30">
        <f t="shared" si="7"/>
        <v>28</v>
      </c>
      <c r="L26" s="3"/>
    </row>
    <row r="27" spans="1:12" ht="14.25" x14ac:dyDescent="0.2">
      <c r="A27" s="20">
        <f t="shared" si="8"/>
        <v>38780</v>
      </c>
      <c r="B27" s="3">
        <v>191</v>
      </c>
      <c r="C27" s="3">
        <v>39</v>
      </c>
      <c r="D27" s="3">
        <v>112</v>
      </c>
      <c r="E27" s="11">
        <f t="shared" si="9"/>
        <v>342</v>
      </c>
      <c r="F27" s="11">
        <v>639</v>
      </c>
      <c r="G27" s="3">
        <f t="shared" si="1"/>
        <v>297</v>
      </c>
      <c r="H27" s="49">
        <f t="shared" si="2"/>
        <v>0.14311270125223613</v>
      </c>
      <c r="I27" s="57">
        <f t="shared" si="6"/>
        <v>-0.10236220472440945</v>
      </c>
      <c r="J27" s="30">
        <f t="shared" si="7"/>
        <v>-39</v>
      </c>
      <c r="L27" s="3"/>
    </row>
    <row r="28" spans="1:12" ht="14.25" x14ac:dyDescent="0.2">
      <c r="A28" s="20">
        <f t="shared" si="8"/>
        <v>38787</v>
      </c>
      <c r="B28" s="3">
        <v>241</v>
      </c>
      <c r="C28" s="3">
        <v>49</v>
      </c>
      <c r="D28" s="3">
        <v>163</v>
      </c>
      <c r="E28" s="11">
        <f t="shared" si="9"/>
        <v>453</v>
      </c>
      <c r="F28" s="11">
        <v>637</v>
      </c>
      <c r="G28" s="3">
        <f t="shared" si="1"/>
        <v>184</v>
      </c>
      <c r="H28" s="49">
        <f t="shared" si="2"/>
        <v>-3.1298904538341159E-3</v>
      </c>
      <c r="I28" s="57">
        <f t="shared" si="6"/>
        <v>0.32456140350877194</v>
      </c>
      <c r="J28" s="30">
        <f t="shared" si="7"/>
        <v>111</v>
      </c>
      <c r="L28" s="3"/>
    </row>
    <row r="29" spans="1:12" ht="14.25" x14ac:dyDescent="0.2">
      <c r="A29" s="20">
        <f t="shared" si="8"/>
        <v>38794</v>
      </c>
      <c r="B29" s="3">
        <v>148</v>
      </c>
      <c r="C29" s="3">
        <v>37</v>
      </c>
      <c r="D29" s="3">
        <v>119</v>
      </c>
      <c r="E29" s="11">
        <f t="shared" si="9"/>
        <v>304</v>
      </c>
      <c r="F29" s="11">
        <v>567</v>
      </c>
      <c r="G29" s="3">
        <f t="shared" si="1"/>
        <v>263</v>
      </c>
      <c r="H29" s="49">
        <f t="shared" si="2"/>
        <v>-0.10989010989010989</v>
      </c>
      <c r="I29" s="57">
        <f t="shared" si="6"/>
        <v>-0.32891832229580575</v>
      </c>
      <c r="J29" s="30">
        <f t="shared" si="7"/>
        <v>-149</v>
      </c>
      <c r="L29" s="3"/>
    </row>
    <row r="30" spans="1:12" ht="14.25" x14ac:dyDescent="0.2">
      <c r="A30" s="20">
        <f t="shared" si="8"/>
        <v>38801</v>
      </c>
      <c r="B30" s="3">
        <v>164</v>
      </c>
      <c r="C30" s="3">
        <v>48</v>
      </c>
      <c r="D30" s="3">
        <v>94</v>
      </c>
      <c r="E30" s="11">
        <f t="shared" si="9"/>
        <v>306</v>
      </c>
      <c r="F30" s="11">
        <v>450</v>
      </c>
      <c r="G30" s="3">
        <f t="shared" si="1"/>
        <v>144</v>
      </c>
      <c r="H30" s="49">
        <f t="shared" si="2"/>
        <v>-0.20634920634920634</v>
      </c>
      <c r="I30" s="57">
        <f t="shared" si="6"/>
        <v>6.5789473684210523E-3</v>
      </c>
      <c r="J30" s="30">
        <f t="shared" si="7"/>
        <v>2</v>
      </c>
      <c r="L30" s="3"/>
    </row>
    <row r="31" spans="1:12" ht="14.25" x14ac:dyDescent="0.2">
      <c r="A31" s="20">
        <f t="shared" si="8"/>
        <v>38808</v>
      </c>
      <c r="B31" s="3">
        <v>348</v>
      </c>
      <c r="C31" s="3">
        <v>22</v>
      </c>
      <c r="D31" s="3">
        <v>87</v>
      </c>
      <c r="E31" s="11">
        <f t="shared" si="9"/>
        <v>457</v>
      </c>
      <c r="F31" s="11">
        <v>269</v>
      </c>
      <c r="G31" s="3">
        <f t="shared" si="1"/>
        <v>-188</v>
      </c>
      <c r="H31" s="49">
        <f t="shared" si="2"/>
        <v>-0.4022222222222222</v>
      </c>
      <c r="I31" s="57">
        <f t="shared" ref="I31:I36" si="10">(E31-E30)/E30</f>
        <v>0.49346405228758172</v>
      </c>
      <c r="J31" s="30">
        <f t="shared" ref="J31:J36" si="11">E31-E30</f>
        <v>151</v>
      </c>
      <c r="L31" s="3"/>
    </row>
    <row r="32" spans="1:12" ht="14.25" x14ac:dyDescent="0.2">
      <c r="A32" s="20">
        <f t="shared" si="8"/>
        <v>38815</v>
      </c>
      <c r="B32" s="2">
        <v>290</v>
      </c>
      <c r="C32" s="3">
        <v>31</v>
      </c>
      <c r="D32" s="3">
        <v>94</v>
      </c>
      <c r="E32" s="11">
        <f t="shared" si="9"/>
        <v>415</v>
      </c>
      <c r="F32" s="11">
        <v>365</v>
      </c>
      <c r="G32" s="3">
        <f t="shared" si="1"/>
        <v>-50</v>
      </c>
      <c r="H32" s="49">
        <f t="shared" si="2"/>
        <v>0.35687732342007433</v>
      </c>
      <c r="I32" s="57">
        <f t="shared" si="10"/>
        <v>-9.1903719912472648E-2</v>
      </c>
      <c r="J32" s="30">
        <f t="shared" si="11"/>
        <v>-42</v>
      </c>
      <c r="L32" s="3"/>
    </row>
    <row r="33" spans="1:12" ht="14.25" x14ac:dyDescent="0.2">
      <c r="A33" s="20">
        <f t="shared" si="8"/>
        <v>38822</v>
      </c>
      <c r="B33" s="3">
        <v>387</v>
      </c>
      <c r="C33" s="3">
        <v>21</v>
      </c>
      <c r="D33" s="3">
        <v>78</v>
      </c>
      <c r="E33" s="11">
        <f t="shared" si="9"/>
        <v>486</v>
      </c>
      <c r="F33" s="11">
        <v>467</v>
      </c>
      <c r="G33" s="3">
        <f t="shared" si="1"/>
        <v>-19</v>
      </c>
      <c r="H33" s="49">
        <f t="shared" si="2"/>
        <v>0.27945205479452057</v>
      </c>
      <c r="I33" s="57">
        <f t="shared" si="10"/>
        <v>0.1710843373493976</v>
      </c>
      <c r="J33" s="30">
        <f t="shared" si="11"/>
        <v>71</v>
      </c>
      <c r="L33" s="3"/>
    </row>
    <row r="34" spans="1:12" ht="14.25" x14ac:dyDescent="0.2">
      <c r="A34" s="20">
        <f t="shared" si="8"/>
        <v>38829</v>
      </c>
      <c r="B34" s="3">
        <v>334</v>
      </c>
      <c r="C34" s="3">
        <v>30</v>
      </c>
      <c r="D34" s="3">
        <v>57</v>
      </c>
      <c r="E34" s="11">
        <f t="shared" si="9"/>
        <v>421</v>
      </c>
      <c r="F34" s="11">
        <v>583</v>
      </c>
      <c r="G34" s="3">
        <f t="shared" si="1"/>
        <v>162</v>
      </c>
      <c r="H34" s="49">
        <f t="shared" si="2"/>
        <v>0.24839400428265523</v>
      </c>
      <c r="I34" s="57">
        <f t="shared" si="10"/>
        <v>-0.13374485596707819</v>
      </c>
      <c r="J34" s="30">
        <f t="shared" si="11"/>
        <v>-65</v>
      </c>
      <c r="L34" s="3"/>
    </row>
    <row r="35" spans="1:12" ht="14.25" x14ac:dyDescent="0.2">
      <c r="A35" s="20">
        <f t="shared" si="8"/>
        <v>38836</v>
      </c>
      <c r="B35" s="3">
        <v>374</v>
      </c>
      <c r="C35" s="3">
        <v>20</v>
      </c>
      <c r="D35" s="3">
        <v>47</v>
      </c>
      <c r="E35" s="11">
        <f t="shared" si="9"/>
        <v>441</v>
      </c>
      <c r="F35" s="11">
        <v>420</v>
      </c>
      <c r="G35" s="3">
        <f t="shared" si="1"/>
        <v>-21</v>
      </c>
      <c r="H35" s="49">
        <f t="shared" si="2"/>
        <v>-0.27958833619210977</v>
      </c>
      <c r="I35" s="57">
        <f t="shared" si="10"/>
        <v>4.7505938242280284E-2</v>
      </c>
      <c r="J35" s="30">
        <f t="shared" si="11"/>
        <v>20</v>
      </c>
      <c r="L35" s="3"/>
    </row>
    <row r="36" spans="1:12" ht="14.25" x14ac:dyDescent="0.2">
      <c r="A36" s="20">
        <f t="shared" si="8"/>
        <v>38843</v>
      </c>
      <c r="B36" s="3">
        <v>359</v>
      </c>
      <c r="C36" s="3">
        <v>19</v>
      </c>
      <c r="D36" s="3">
        <v>57</v>
      </c>
      <c r="E36" s="11">
        <f t="shared" si="9"/>
        <v>435</v>
      </c>
      <c r="F36" s="11">
        <v>398</v>
      </c>
      <c r="G36" s="3">
        <f t="shared" si="1"/>
        <v>-37</v>
      </c>
      <c r="H36" s="49">
        <f t="shared" si="2"/>
        <v>-5.2380952380952382E-2</v>
      </c>
      <c r="I36" s="57">
        <f t="shared" si="10"/>
        <v>-1.3605442176870748E-2</v>
      </c>
      <c r="J36" s="30">
        <f t="shared" si="11"/>
        <v>-6</v>
      </c>
      <c r="L36" s="3"/>
    </row>
    <row r="37" spans="1:12" ht="14.25" x14ac:dyDescent="0.2">
      <c r="A37" s="20">
        <f t="shared" si="8"/>
        <v>38850</v>
      </c>
      <c r="B37" s="3">
        <v>438</v>
      </c>
      <c r="C37" s="3">
        <v>19</v>
      </c>
      <c r="D37" s="3">
        <v>96</v>
      </c>
      <c r="E37" s="11">
        <f t="shared" si="9"/>
        <v>553</v>
      </c>
      <c r="F37" s="11">
        <v>574</v>
      </c>
      <c r="G37" s="3">
        <f t="shared" si="1"/>
        <v>21</v>
      </c>
      <c r="H37" s="49">
        <f t="shared" si="2"/>
        <v>0.44221105527638194</v>
      </c>
      <c r="I37" s="57">
        <f t="shared" ref="I37:I42" si="12">(E37-E36)/E36</f>
        <v>0.27126436781609198</v>
      </c>
      <c r="J37" s="30">
        <f t="shared" ref="J37:J42" si="13">E37-E36</f>
        <v>118</v>
      </c>
      <c r="L37" s="3"/>
    </row>
    <row r="38" spans="1:12" ht="14.25" x14ac:dyDescent="0.2">
      <c r="A38" s="20">
        <f t="shared" si="8"/>
        <v>38857</v>
      </c>
      <c r="B38" s="3">
        <v>483</v>
      </c>
      <c r="C38" s="3">
        <v>21</v>
      </c>
      <c r="D38" s="3">
        <v>54</v>
      </c>
      <c r="E38" s="11">
        <f t="shared" si="9"/>
        <v>558</v>
      </c>
      <c r="F38" s="11">
        <v>588</v>
      </c>
      <c r="G38" s="3">
        <f t="shared" si="1"/>
        <v>30</v>
      </c>
      <c r="H38" s="49">
        <f t="shared" si="2"/>
        <v>2.4390243902439025E-2</v>
      </c>
      <c r="I38" s="57">
        <f t="shared" si="12"/>
        <v>9.0415913200723331E-3</v>
      </c>
      <c r="J38" s="30">
        <f t="shared" si="13"/>
        <v>5</v>
      </c>
      <c r="L38" s="3"/>
    </row>
    <row r="39" spans="1:12" ht="14.25" x14ac:dyDescent="0.2">
      <c r="A39" s="20">
        <f t="shared" si="8"/>
        <v>38864</v>
      </c>
      <c r="B39" s="3">
        <v>430</v>
      </c>
      <c r="C39" s="3">
        <v>14</v>
      </c>
      <c r="D39" s="3">
        <v>74</v>
      </c>
      <c r="E39" s="11">
        <f t="shared" si="9"/>
        <v>518</v>
      </c>
      <c r="F39" s="11">
        <v>612</v>
      </c>
      <c r="G39" s="3">
        <f t="shared" si="1"/>
        <v>94</v>
      </c>
      <c r="H39" s="49">
        <f t="shared" si="2"/>
        <v>4.0816326530612242E-2</v>
      </c>
      <c r="I39" s="57">
        <f t="shared" si="12"/>
        <v>-7.1684587813620068E-2</v>
      </c>
      <c r="J39" s="30">
        <f t="shared" si="13"/>
        <v>-40</v>
      </c>
      <c r="L39" s="3"/>
    </row>
    <row r="40" spans="1:12" ht="14.25" x14ac:dyDescent="0.2">
      <c r="A40" s="20">
        <f t="shared" si="8"/>
        <v>38871</v>
      </c>
      <c r="B40" s="3">
        <f>5+364+35</f>
        <v>404</v>
      </c>
      <c r="C40" s="3">
        <f>7+14+13</f>
        <v>34</v>
      </c>
      <c r="D40" s="3">
        <f>31+1+15</f>
        <v>47</v>
      </c>
      <c r="E40" s="11">
        <f t="shared" si="9"/>
        <v>485</v>
      </c>
      <c r="F40" s="11">
        <v>564</v>
      </c>
      <c r="G40" s="3">
        <f t="shared" si="1"/>
        <v>79</v>
      </c>
      <c r="H40" s="49">
        <f t="shared" si="2"/>
        <v>-7.8431372549019607E-2</v>
      </c>
      <c r="I40" s="57">
        <f t="shared" si="12"/>
        <v>-6.3706563706563704E-2</v>
      </c>
      <c r="J40" s="30">
        <f t="shared" si="13"/>
        <v>-33</v>
      </c>
      <c r="L40" s="3"/>
    </row>
    <row r="41" spans="1:12" ht="14.25" x14ac:dyDescent="0.2">
      <c r="A41" s="20">
        <f t="shared" si="8"/>
        <v>38878</v>
      </c>
      <c r="B41" s="3">
        <f>1+289+0+66</f>
        <v>356</v>
      </c>
      <c r="C41" s="3">
        <f>8+0+8+8</f>
        <v>24</v>
      </c>
      <c r="D41" s="3">
        <f>0+37+0+17</f>
        <v>54</v>
      </c>
      <c r="E41" s="11">
        <f t="shared" si="9"/>
        <v>434</v>
      </c>
      <c r="F41" s="11">
        <v>530</v>
      </c>
      <c r="G41" s="3">
        <f t="shared" ref="G41:G47" si="14">F41-E41</f>
        <v>96</v>
      </c>
      <c r="H41" s="49">
        <f t="shared" si="2"/>
        <v>-6.0283687943262408E-2</v>
      </c>
      <c r="I41" s="57">
        <f t="shared" si="12"/>
        <v>-0.10515463917525773</v>
      </c>
      <c r="J41" s="30">
        <f t="shared" si="13"/>
        <v>-51</v>
      </c>
      <c r="L41" s="3"/>
    </row>
    <row r="42" spans="1:12" ht="14.25" x14ac:dyDescent="0.2">
      <c r="A42" s="20">
        <f t="shared" si="8"/>
        <v>38885</v>
      </c>
      <c r="B42" s="3">
        <f>12+374+4+47</f>
        <v>437</v>
      </c>
      <c r="C42" s="3">
        <f>13+14+9</f>
        <v>36</v>
      </c>
      <c r="D42" s="3">
        <v>34</v>
      </c>
      <c r="E42" s="11">
        <f t="shared" si="9"/>
        <v>507</v>
      </c>
      <c r="F42" s="11">
        <v>531</v>
      </c>
      <c r="G42" s="3">
        <f t="shared" si="14"/>
        <v>24</v>
      </c>
      <c r="H42" s="49">
        <f t="shared" si="2"/>
        <v>1.8867924528301887E-3</v>
      </c>
      <c r="I42" s="57">
        <f t="shared" si="12"/>
        <v>0.16820276497695852</v>
      </c>
      <c r="J42" s="30">
        <f t="shared" si="13"/>
        <v>73</v>
      </c>
      <c r="L42" s="3"/>
    </row>
    <row r="43" spans="1:12" ht="14.25" x14ac:dyDescent="0.2">
      <c r="A43" s="20">
        <f t="shared" si="8"/>
        <v>38892</v>
      </c>
      <c r="B43" s="3">
        <f>461+35</f>
        <v>496</v>
      </c>
      <c r="C43" s="3">
        <f>11+5+2</f>
        <v>18</v>
      </c>
      <c r="D43" s="3">
        <f>23+8</f>
        <v>31</v>
      </c>
      <c r="E43" s="11">
        <f t="shared" si="9"/>
        <v>545</v>
      </c>
      <c r="F43" s="11">
        <v>441</v>
      </c>
      <c r="G43" s="3">
        <f t="shared" si="14"/>
        <v>-104</v>
      </c>
      <c r="H43" s="49">
        <f t="shared" si="2"/>
        <v>-0.16949152542372881</v>
      </c>
      <c r="I43" s="57">
        <f t="shared" ref="I43:I49" si="15">(E43-E42)/E42</f>
        <v>7.4950690335305714E-2</v>
      </c>
      <c r="J43" s="30">
        <f t="shared" ref="J43:J49" si="16">E43-E42</f>
        <v>38</v>
      </c>
      <c r="L43" s="3"/>
    </row>
    <row r="44" spans="1:12" ht="14.25" x14ac:dyDescent="0.2">
      <c r="A44" s="20">
        <f t="shared" si="8"/>
        <v>38899</v>
      </c>
      <c r="B44" s="3">
        <v>577</v>
      </c>
      <c r="C44" s="3">
        <v>36</v>
      </c>
      <c r="D44" s="3">
        <v>50</v>
      </c>
      <c r="E44" s="11">
        <f t="shared" si="9"/>
        <v>663</v>
      </c>
      <c r="F44" s="11">
        <v>475</v>
      </c>
      <c r="G44" s="3">
        <f t="shared" si="14"/>
        <v>-188</v>
      </c>
      <c r="H44" s="49">
        <f t="shared" si="2"/>
        <v>7.7097505668934238E-2</v>
      </c>
      <c r="I44" s="57">
        <f t="shared" si="15"/>
        <v>0.21651376146788992</v>
      </c>
      <c r="J44" s="30">
        <f t="shared" si="16"/>
        <v>118</v>
      </c>
      <c r="L44" s="3"/>
    </row>
    <row r="45" spans="1:12" ht="14.25" x14ac:dyDescent="0.2">
      <c r="A45" s="20">
        <f t="shared" si="8"/>
        <v>38906</v>
      </c>
      <c r="B45" s="3">
        <v>504</v>
      </c>
      <c r="C45" s="3">
        <v>30</v>
      </c>
      <c r="D45" s="3">
        <v>34</v>
      </c>
      <c r="E45" s="11">
        <f t="shared" si="9"/>
        <v>568</v>
      </c>
      <c r="F45" s="11">
        <v>454</v>
      </c>
      <c r="G45" s="3">
        <f t="shared" si="14"/>
        <v>-114</v>
      </c>
      <c r="H45" s="49">
        <f t="shared" si="2"/>
        <v>-4.4210526315789471E-2</v>
      </c>
      <c r="I45" s="57">
        <f t="shared" si="15"/>
        <v>-0.14328808446455504</v>
      </c>
      <c r="J45" s="30">
        <f t="shared" si="16"/>
        <v>-95</v>
      </c>
      <c r="L45" s="3"/>
    </row>
    <row r="46" spans="1:12" ht="14.25" x14ac:dyDescent="0.2">
      <c r="A46" s="20">
        <f t="shared" si="8"/>
        <v>38913</v>
      </c>
      <c r="B46" s="3">
        <v>441</v>
      </c>
      <c r="C46" s="3">
        <v>22</v>
      </c>
      <c r="D46" s="3">
        <v>49</v>
      </c>
      <c r="E46" s="11">
        <f t="shared" si="9"/>
        <v>512</v>
      </c>
      <c r="F46" s="11">
        <v>524</v>
      </c>
      <c r="G46" s="3">
        <f t="shared" si="14"/>
        <v>12</v>
      </c>
      <c r="H46" s="49">
        <f t="shared" si="2"/>
        <v>0.15418502202643172</v>
      </c>
      <c r="I46" s="57">
        <f t="shared" si="15"/>
        <v>-9.8591549295774641E-2</v>
      </c>
      <c r="J46" s="30">
        <f t="shared" si="16"/>
        <v>-56</v>
      </c>
      <c r="L46" s="3"/>
    </row>
    <row r="47" spans="1:12" ht="14.25" x14ac:dyDescent="0.2">
      <c r="A47" s="20">
        <f t="shared" si="8"/>
        <v>38920</v>
      </c>
      <c r="B47" s="3">
        <v>469</v>
      </c>
      <c r="C47" s="3">
        <v>47</v>
      </c>
      <c r="D47" s="3">
        <v>53</v>
      </c>
      <c r="E47" s="11">
        <f t="shared" si="9"/>
        <v>569</v>
      </c>
      <c r="F47" s="11">
        <v>588</v>
      </c>
      <c r="G47" s="3">
        <f t="shared" si="14"/>
        <v>19</v>
      </c>
      <c r="H47" s="49">
        <f t="shared" si="2"/>
        <v>0.12213740458015267</v>
      </c>
      <c r="I47" s="57">
        <f t="shared" si="15"/>
        <v>0.111328125</v>
      </c>
      <c r="J47" s="30">
        <f t="shared" si="16"/>
        <v>57</v>
      </c>
      <c r="L47" s="3"/>
    </row>
    <row r="48" spans="1:12" ht="14.25" x14ac:dyDescent="0.2">
      <c r="A48" s="20">
        <f t="shared" si="8"/>
        <v>38927</v>
      </c>
      <c r="B48" s="3">
        <f>3+422+3+45</f>
        <v>473</v>
      </c>
      <c r="C48" s="3">
        <f>19+0+10+9</f>
        <v>38</v>
      </c>
      <c r="D48" s="3">
        <f>6+22+1+15</f>
        <v>44</v>
      </c>
      <c r="E48" s="11">
        <f t="shared" si="9"/>
        <v>555</v>
      </c>
      <c r="F48" s="11">
        <v>619</v>
      </c>
      <c r="G48" s="3">
        <f t="shared" ref="G48:G53" si="17">F48-E48</f>
        <v>64</v>
      </c>
      <c r="H48" s="49">
        <f t="shared" si="2"/>
        <v>5.2721088435374153E-2</v>
      </c>
      <c r="I48" s="57">
        <f t="shared" si="15"/>
        <v>-2.4604569420035149E-2</v>
      </c>
      <c r="J48" s="30">
        <f t="shared" si="16"/>
        <v>-14</v>
      </c>
      <c r="L48" s="3"/>
    </row>
    <row r="49" spans="1:12" ht="14.25" x14ac:dyDescent="0.2">
      <c r="A49" s="20">
        <f t="shared" si="8"/>
        <v>38934</v>
      </c>
      <c r="B49" s="3">
        <f>6+369+0+82</f>
        <v>457</v>
      </c>
      <c r="C49" s="3">
        <f>10+0+15+1</f>
        <v>26</v>
      </c>
      <c r="D49" s="3">
        <f>4+17+0+6</f>
        <v>27</v>
      </c>
      <c r="E49" s="11">
        <f t="shared" si="9"/>
        <v>510</v>
      </c>
      <c r="F49" s="11">
        <v>462</v>
      </c>
      <c r="G49" s="3">
        <f t="shared" si="17"/>
        <v>-48</v>
      </c>
      <c r="H49" s="49">
        <f t="shared" si="2"/>
        <v>-0.25363489499192243</v>
      </c>
      <c r="I49" s="57">
        <f t="shared" si="15"/>
        <v>-8.1081081081081086E-2</v>
      </c>
      <c r="J49" s="30">
        <f t="shared" si="16"/>
        <v>-45</v>
      </c>
      <c r="L49" s="3"/>
    </row>
    <row r="50" spans="1:12" ht="14.25" x14ac:dyDescent="0.2">
      <c r="A50" s="20">
        <f t="shared" si="8"/>
        <v>38941</v>
      </c>
      <c r="B50" s="3">
        <f>9+345+0+69</f>
        <v>423</v>
      </c>
      <c r="C50" s="3">
        <f>19+0+9+2</f>
        <v>30</v>
      </c>
      <c r="D50" s="3">
        <f>8+11+0+14</f>
        <v>33</v>
      </c>
      <c r="E50" s="11">
        <f t="shared" si="9"/>
        <v>486</v>
      </c>
      <c r="F50" s="11">
        <v>551</v>
      </c>
      <c r="G50" s="3">
        <f t="shared" si="17"/>
        <v>65</v>
      </c>
      <c r="H50" s="49">
        <f t="shared" si="2"/>
        <v>0.19264069264069264</v>
      </c>
      <c r="I50" s="57">
        <f t="shared" ref="I50:I55" si="18">(E50-E49)/E49</f>
        <v>-4.7058823529411764E-2</v>
      </c>
      <c r="J50" s="30">
        <f t="shared" ref="J50:J55" si="19">E50-E49</f>
        <v>-24</v>
      </c>
      <c r="L50" s="3"/>
    </row>
    <row r="51" spans="1:12" ht="14.25" x14ac:dyDescent="0.2">
      <c r="A51" s="20">
        <f t="shared" si="8"/>
        <v>38948</v>
      </c>
      <c r="B51" s="3">
        <f>4+358+1+72</f>
        <v>435</v>
      </c>
      <c r="C51" s="3">
        <f>14+0+8+2</f>
        <v>24</v>
      </c>
      <c r="D51" s="3">
        <f>11+28+0+9</f>
        <v>48</v>
      </c>
      <c r="E51" s="11">
        <f t="shared" si="9"/>
        <v>507</v>
      </c>
      <c r="F51" s="11">
        <v>629</v>
      </c>
      <c r="G51" s="3">
        <f t="shared" si="17"/>
        <v>122</v>
      </c>
      <c r="H51" s="49">
        <f t="shared" si="2"/>
        <v>0.14156079854809436</v>
      </c>
      <c r="I51" s="57">
        <f t="shared" si="18"/>
        <v>4.3209876543209874E-2</v>
      </c>
      <c r="J51" s="30">
        <f t="shared" si="19"/>
        <v>21</v>
      </c>
      <c r="L51" s="3"/>
    </row>
    <row r="52" spans="1:12" ht="14.25" x14ac:dyDescent="0.2">
      <c r="A52" s="20">
        <f t="shared" si="8"/>
        <v>38955</v>
      </c>
      <c r="B52" s="3">
        <f>7+209+0+39</f>
        <v>255</v>
      </c>
      <c r="C52" s="3">
        <f>12+0+9+5</f>
        <v>26</v>
      </c>
      <c r="D52" s="3">
        <f>1+13+4+7</f>
        <v>25</v>
      </c>
      <c r="E52" s="11">
        <f t="shared" si="9"/>
        <v>306</v>
      </c>
      <c r="F52" s="11">
        <v>598</v>
      </c>
      <c r="G52" s="3">
        <f t="shared" si="17"/>
        <v>292</v>
      </c>
      <c r="H52" s="49">
        <f t="shared" si="2"/>
        <v>-4.9284578696343402E-2</v>
      </c>
      <c r="I52" s="57">
        <f t="shared" si="18"/>
        <v>-0.39644970414201186</v>
      </c>
      <c r="J52" s="30">
        <f t="shared" si="19"/>
        <v>-201</v>
      </c>
      <c r="L52" s="3"/>
    </row>
    <row r="53" spans="1:12" ht="14.25" x14ac:dyDescent="0.2">
      <c r="A53" s="20">
        <f t="shared" si="8"/>
        <v>38962</v>
      </c>
      <c r="B53" s="3">
        <f>12+279+1+64</f>
        <v>356</v>
      </c>
      <c r="C53" s="3">
        <f>16+0+0+2</f>
        <v>18</v>
      </c>
      <c r="D53" s="3">
        <f>8+16+2+6</f>
        <v>32</v>
      </c>
      <c r="E53" s="11">
        <f t="shared" si="9"/>
        <v>406</v>
      </c>
      <c r="F53" s="11">
        <v>520</v>
      </c>
      <c r="G53" s="3">
        <f t="shared" si="17"/>
        <v>114</v>
      </c>
      <c r="H53" s="49">
        <f t="shared" si="2"/>
        <v>-0.13043478260869565</v>
      </c>
      <c r="I53" s="57">
        <f t="shared" si="18"/>
        <v>0.32679738562091504</v>
      </c>
      <c r="J53" s="30">
        <f t="shared" si="19"/>
        <v>100</v>
      </c>
      <c r="L53" s="3"/>
    </row>
    <row r="54" spans="1:12" ht="14.25" x14ac:dyDescent="0.2">
      <c r="A54" s="20">
        <f t="shared" si="8"/>
        <v>38969</v>
      </c>
      <c r="B54" s="3">
        <f>14+207+4+67</f>
        <v>292</v>
      </c>
      <c r="C54" s="3">
        <f>4+2+2+9</f>
        <v>17</v>
      </c>
      <c r="D54" s="3">
        <f>6+16+3+2</f>
        <v>27</v>
      </c>
      <c r="E54" s="11">
        <f t="shared" si="9"/>
        <v>336</v>
      </c>
      <c r="F54" s="11">
        <v>564</v>
      </c>
      <c r="G54" s="3">
        <f t="shared" ref="G54:G59" si="20">F54-E54</f>
        <v>228</v>
      </c>
      <c r="H54" s="49">
        <f t="shared" si="2"/>
        <v>8.461538461538462E-2</v>
      </c>
      <c r="I54" s="57">
        <f t="shared" si="18"/>
        <v>-0.17241379310344829</v>
      </c>
      <c r="J54" s="30">
        <f t="shared" si="19"/>
        <v>-70</v>
      </c>
      <c r="L54" s="3"/>
    </row>
    <row r="55" spans="1:12" ht="14.25" x14ac:dyDescent="0.2">
      <c r="A55" s="20">
        <f t="shared" si="8"/>
        <v>38976</v>
      </c>
      <c r="B55" s="3">
        <f>16+164+2+46</f>
        <v>228</v>
      </c>
      <c r="C55" s="3">
        <f>18+1+7+3</f>
        <v>29</v>
      </c>
      <c r="D55" s="3">
        <f>22+45+0+25</f>
        <v>92</v>
      </c>
      <c r="E55" s="11">
        <f t="shared" si="9"/>
        <v>349</v>
      </c>
      <c r="F55" s="11">
        <v>628</v>
      </c>
      <c r="G55" s="3">
        <f t="shared" si="20"/>
        <v>279</v>
      </c>
      <c r="H55" s="49">
        <f t="shared" ref="H55:H60" si="21">(F55-F54)/F54</f>
        <v>0.11347517730496454</v>
      </c>
      <c r="I55" s="57">
        <f t="shared" si="18"/>
        <v>3.8690476190476192E-2</v>
      </c>
      <c r="J55" s="30">
        <f t="shared" si="19"/>
        <v>13</v>
      </c>
      <c r="L55" s="3"/>
    </row>
    <row r="56" spans="1:12" ht="14.25" x14ac:dyDescent="0.2">
      <c r="A56" s="20">
        <f t="shared" si="8"/>
        <v>38983</v>
      </c>
      <c r="B56" s="3">
        <f>SUM(12+255+5+47)</f>
        <v>319</v>
      </c>
      <c r="C56" s="3">
        <f>SUM(4+1+6+4)</f>
        <v>15</v>
      </c>
      <c r="D56" s="3">
        <f>SUM(7+31+0+10)</f>
        <v>48</v>
      </c>
      <c r="E56" s="11">
        <f t="shared" si="9"/>
        <v>382</v>
      </c>
      <c r="F56" s="11">
        <v>533</v>
      </c>
      <c r="G56" s="3">
        <f t="shared" si="20"/>
        <v>151</v>
      </c>
      <c r="H56" s="49">
        <f t="shared" si="21"/>
        <v>-0.15127388535031847</v>
      </c>
      <c r="I56" s="57">
        <f t="shared" ref="I56:I61" si="22">(E56-E55)/E55</f>
        <v>9.4555873925501438E-2</v>
      </c>
      <c r="J56" s="30">
        <f t="shared" ref="J56:J61" si="23">E56-E55</f>
        <v>33</v>
      </c>
      <c r="L56" s="3"/>
    </row>
    <row r="57" spans="1:12" ht="14.25" x14ac:dyDescent="0.2">
      <c r="A57" s="20">
        <f t="shared" si="8"/>
        <v>38990</v>
      </c>
      <c r="B57" s="3">
        <f>19+300+4+67</f>
        <v>390</v>
      </c>
      <c r="C57" s="3">
        <f>9+0+4+2</f>
        <v>15</v>
      </c>
      <c r="D57" s="3">
        <f>6+72+0+11</f>
        <v>89</v>
      </c>
      <c r="E57" s="11">
        <f t="shared" si="9"/>
        <v>494</v>
      </c>
      <c r="F57" s="11">
        <v>503</v>
      </c>
      <c r="G57" s="3">
        <f t="shared" si="20"/>
        <v>9</v>
      </c>
      <c r="H57" s="49">
        <f t="shared" si="21"/>
        <v>-5.6285178236397747E-2</v>
      </c>
      <c r="I57" s="57">
        <f t="shared" si="22"/>
        <v>0.29319371727748689</v>
      </c>
      <c r="J57" s="30">
        <f t="shared" si="23"/>
        <v>112</v>
      </c>
      <c r="L57" s="3"/>
    </row>
    <row r="58" spans="1:12" ht="14.25" x14ac:dyDescent="0.2">
      <c r="A58" s="20">
        <f t="shared" si="8"/>
        <v>38997</v>
      </c>
      <c r="B58" s="3">
        <f>16+257+3+105</f>
        <v>381</v>
      </c>
      <c r="C58" s="3">
        <f>10+0+8+11</f>
        <v>29</v>
      </c>
      <c r="D58" s="3">
        <f>11+72+0+14</f>
        <v>97</v>
      </c>
      <c r="E58" s="11">
        <f t="shared" si="9"/>
        <v>507</v>
      </c>
      <c r="F58" s="11">
        <v>632</v>
      </c>
      <c r="G58" s="3">
        <f t="shared" si="20"/>
        <v>125</v>
      </c>
      <c r="H58" s="49">
        <f t="shared" si="21"/>
        <v>0.25646123260437376</v>
      </c>
      <c r="I58" s="57">
        <f t="shared" si="22"/>
        <v>2.6315789473684209E-2</v>
      </c>
      <c r="J58" s="30">
        <f t="shared" si="23"/>
        <v>13</v>
      </c>
      <c r="L58" s="3"/>
    </row>
    <row r="59" spans="1:12" ht="14.25" x14ac:dyDescent="0.2">
      <c r="A59" s="20">
        <f t="shared" si="8"/>
        <v>39004</v>
      </c>
      <c r="B59" s="3">
        <f>6+179+1+149</f>
        <v>335</v>
      </c>
      <c r="C59" s="3">
        <f>8+0+7+7</f>
        <v>22</v>
      </c>
      <c r="D59" s="3">
        <f>4+58+2+23</f>
        <v>87</v>
      </c>
      <c r="E59" s="11">
        <f t="shared" si="9"/>
        <v>444</v>
      </c>
      <c r="F59" s="11">
        <v>610</v>
      </c>
      <c r="G59" s="3">
        <f t="shared" si="20"/>
        <v>166</v>
      </c>
      <c r="H59" s="49">
        <f t="shared" si="21"/>
        <v>-3.4810126582278479E-2</v>
      </c>
      <c r="I59" s="57">
        <f t="shared" si="22"/>
        <v>-0.1242603550295858</v>
      </c>
      <c r="J59" s="30">
        <f t="shared" si="23"/>
        <v>-63</v>
      </c>
      <c r="K59" s="13">
        <f>(F59-F7)/F7</f>
        <v>-0.20261437908496732</v>
      </c>
      <c r="L59" s="3"/>
    </row>
    <row r="60" spans="1:12" ht="14.25" x14ac:dyDescent="0.2">
      <c r="A60" s="20">
        <f t="shared" si="8"/>
        <v>39011</v>
      </c>
      <c r="B60" s="3">
        <f>7+181+1+158</f>
        <v>347</v>
      </c>
      <c r="C60" s="3">
        <f>9+0+3+9</f>
        <v>21</v>
      </c>
      <c r="D60" s="3">
        <f>3+74+2+36</f>
        <v>115</v>
      </c>
      <c r="E60" s="11">
        <f t="shared" si="9"/>
        <v>483</v>
      </c>
      <c r="F60" s="11">
        <v>630</v>
      </c>
      <c r="G60" s="3">
        <f t="shared" ref="G60:G65" si="24">F60-E60</f>
        <v>147</v>
      </c>
      <c r="H60" s="49">
        <f t="shared" si="21"/>
        <v>3.2786885245901641E-2</v>
      </c>
      <c r="I60" s="57">
        <f t="shared" si="22"/>
        <v>8.7837837837837843E-2</v>
      </c>
      <c r="J60" s="30">
        <f t="shared" si="23"/>
        <v>39</v>
      </c>
      <c r="K60" s="13">
        <f t="shared" ref="K60:K70" si="25">(F60-F8)/F8</f>
        <v>-0.14285714285714285</v>
      </c>
      <c r="L60" s="3"/>
    </row>
    <row r="61" spans="1:12" ht="14.25" x14ac:dyDescent="0.2">
      <c r="A61" s="20">
        <f t="shared" si="8"/>
        <v>39018</v>
      </c>
      <c r="B61" s="3">
        <f>1+199+3+105</f>
        <v>308</v>
      </c>
      <c r="C61" s="3">
        <f>4+0+2+21</f>
        <v>27</v>
      </c>
      <c r="D61" s="3">
        <f>2+24+0+25</f>
        <v>51</v>
      </c>
      <c r="E61" s="11">
        <f t="shared" si="9"/>
        <v>386</v>
      </c>
      <c r="F61" s="11">
        <v>688</v>
      </c>
      <c r="G61" s="3">
        <f t="shared" si="24"/>
        <v>302</v>
      </c>
      <c r="H61" s="49">
        <f t="shared" ref="H61:H66" si="26">(F61-F60)/F60</f>
        <v>9.2063492063492069E-2</v>
      </c>
      <c r="I61" s="57">
        <f t="shared" si="22"/>
        <v>-0.20082815734989648</v>
      </c>
      <c r="J61" s="30">
        <f t="shared" si="23"/>
        <v>-97</v>
      </c>
      <c r="K61" s="13">
        <f t="shared" si="25"/>
        <v>-5.4945054945054944E-2</v>
      </c>
      <c r="L61" s="3"/>
    </row>
    <row r="62" spans="1:12" ht="14.25" x14ac:dyDescent="0.2">
      <c r="A62" s="20">
        <f t="shared" si="8"/>
        <v>39025</v>
      </c>
      <c r="B62" s="3">
        <f>0+299+4+95</f>
        <v>398</v>
      </c>
      <c r="C62" s="3">
        <f>6+0+7+15</f>
        <v>28</v>
      </c>
      <c r="D62" s="3">
        <f>1+28+0+33</f>
        <v>62</v>
      </c>
      <c r="E62" s="11">
        <f t="shared" si="9"/>
        <v>488</v>
      </c>
      <c r="F62" s="11">
        <v>779</v>
      </c>
      <c r="G62" s="3">
        <f t="shared" si="24"/>
        <v>291</v>
      </c>
      <c r="H62" s="49">
        <f t="shared" si="26"/>
        <v>0.13226744186046513</v>
      </c>
      <c r="I62" s="57">
        <f t="shared" ref="I62:I67" si="27">(E62-E61)/E61</f>
        <v>0.26424870466321243</v>
      </c>
      <c r="J62" s="30">
        <f t="shared" ref="J62:J67" si="28">E62-E61</f>
        <v>102</v>
      </c>
      <c r="K62" s="13">
        <f t="shared" si="25"/>
        <v>0.32935153583617749</v>
      </c>
      <c r="L62" s="3"/>
    </row>
    <row r="63" spans="1:12" ht="14.25" x14ac:dyDescent="0.2">
      <c r="A63" s="20">
        <f t="shared" si="8"/>
        <v>39032</v>
      </c>
      <c r="B63" s="3">
        <f>10+343+4+97</f>
        <v>454</v>
      </c>
      <c r="C63" s="3">
        <f>3+0+3+7</f>
        <v>13</v>
      </c>
      <c r="D63" s="3">
        <f>3+52+0+38</f>
        <v>93</v>
      </c>
      <c r="E63" s="11">
        <f t="shared" si="9"/>
        <v>560</v>
      </c>
      <c r="F63" s="11">
        <v>680</v>
      </c>
      <c r="G63" s="3">
        <f t="shared" si="24"/>
        <v>120</v>
      </c>
      <c r="H63" s="49">
        <f t="shared" si="26"/>
        <v>-0.12708600770218229</v>
      </c>
      <c r="I63" s="57">
        <f t="shared" si="27"/>
        <v>0.14754098360655737</v>
      </c>
      <c r="J63" s="30">
        <f t="shared" si="28"/>
        <v>72</v>
      </c>
      <c r="K63" s="13">
        <f t="shared" si="25"/>
        <v>0.17850953206239167</v>
      </c>
      <c r="L63" s="3"/>
    </row>
    <row r="64" spans="1:12" ht="14.25" x14ac:dyDescent="0.2">
      <c r="A64" s="20">
        <f t="shared" si="8"/>
        <v>39039</v>
      </c>
      <c r="B64" s="3">
        <f>6+413+2+61</f>
        <v>482</v>
      </c>
      <c r="C64" s="3">
        <f>1+0+7+21</f>
        <v>29</v>
      </c>
      <c r="D64" s="3">
        <f>0+40+0+39</f>
        <v>79</v>
      </c>
      <c r="E64" s="11">
        <f t="shared" si="9"/>
        <v>590</v>
      </c>
      <c r="F64" s="11">
        <v>665</v>
      </c>
      <c r="G64" s="3">
        <f t="shared" si="24"/>
        <v>75</v>
      </c>
      <c r="H64" s="49">
        <f t="shared" si="26"/>
        <v>-2.2058823529411766E-2</v>
      </c>
      <c r="I64" s="57">
        <f t="shared" si="27"/>
        <v>5.3571428571428568E-2</v>
      </c>
      <c r="J64" s="30">
        <f t="shared" si="28"/>
        <v>30</v>
      </c>
      <c r="K64" s="13">
        <f t="shared" si="25"/>
        <v>0.17699115044247787</v>
      </c>
      <c r="L64" s="3"/>
    </row>
    <row r="65" spans="1:12" ht="14.25" x14ac:dyDescent="0.2">
      <c r="A65" s="20">
        <f t="shared" si="8"/>
        <v>39046</v>
      </c>
      <c r="B65" s="3">
        <f>0+497+4+42</f>
        <v>543</v>
      </c>
      <c r="C65" s="3">
        <f>8+0+5+20</f>
        <v>33</v>
      </c>
      <c r="D65" s="3">
        <f>1+59+3+42</f>
        <v>105</v>
      </c>
      <c r="E65" s="11">
        <f t="shared" si="9"/>
        <v>681</v>
      </c>
      <c r="F65" s="11">
        <v>591</v>
      </c>
      <c r="G65" s="3">
        <f t="shared" si="24"/>
        <v>-90</v>
      </c>
      <c r="H65" s="49">
        <f t="shared" si="26"/>
        <v>-0.11127819548872181</v>
      </c>
      <c r="I65" s="57">
        <f t="shared" si="27"/>
        <v>0.15423728813559323</v>
      </c>
      <c r="J65" s="30">
        <f t="shared" si="28"/>
        <v>91</v>
      </c>
      <c r="K65" s="13">
        <f t="shared" si="25"/>
        <v>0.12144212523719165</v>
      </c>
      <c r="L65" s="3"/>
    </row>
    <row r="66" spans="1:12" ht="14.25" x14ac:dyDescent="0.2">
      <c r="A66" s="20">
        <f t="shared" si="8"/>
        <v>39053</v>
      </c>
      <c r="B66" s="3">
        <f>8+370+20+28</f>
        <v>426</v>
      </c>
      <c r="C66" s="3">
        <f>7+0+2+9</f>
        <v>18</v>
      </c>
      <c r="D66" s="3">
        <f>2+48+0+53</f>
        <v>103</v>
      </c>
      <c r="E66" s="11">
        <f t="shared" si="9"/>
        <v>547</v>
      </c>
      <c r="F66" s="11">
        <v>672</v>
      </c>
      <c r="G66" s="3">
        <f t="shared" ref="G66:G71" si="29">F66-E66</f>
        <v>125</v>
      </c>
      <c r="H66" s="49">
        <f t="shared" si="26"/>
        <v>0.13705583756345177</v>
      </c>
      <c r="I66" s="57">
        <f t="shared" si="27"/>
        <v>-0.19676945668135096</v>
      </c>
      <c r="J66" s="30">
        <f t="shared" si="28"/>
        <v>-134</v>
      </c>
      <c r="K66" s="13">
        <f t="shared" si="25"/>
        <v>8.2125603864734303E-2</v>
      </c>
      <c r="L66" s="3"/>
    </row>
    <row r="67" spans="1:12" ht="14.25" x14ac:dyDescent="0.2">
      <c r="A67" s="20">
        <f t="shared" si="8"/>
        <v>39060</v>
      </c>
      <c r="B67" s="3">
        <f>1+429+7+87</f>
        <v>524</v>
      </c>
      <c r="C67" s="3">
        <f>2+0+8+21</f>
        <v>31</v>
      </c>
      <c r="D67" s="3">
        <f>3+57+0+84</f>
        <v>144</v>
      </c>
      <c r="E67" s="11">
        <f t="shared" si="9"/>
        <v>699</v>
      </c>
      <c r="F67" s="11">
        <v>652</v>
      </c>
      <c r="G67" s="3">
        <f t="shared" si="29"/>
        <v>-47</v>
      </c>
      <c r="H67" s="49">
        <f t="shared" ref="H67:H72" si="30">(F67-F66)/F66</f>
        <v>-2.976190476190476E-2</v>
      </c>
      <c r="I67" s="57">
        <f t="shared" si="27"/>
        <v>0.27787934186471663</v>
      </c>
      <c r="J67" s="30">
        <f t="shared" si="28"/>
        <v>152</v>
      </c>
      <c r="K67" s="13">
        <f t="shared" si="25"/>
        <v>-3.4074074074074076E-2</v>
      </c>
      <c r="L67" s="3"/>
    </row>
    <row r="68" spans="1:12" ht="14.25" x14ac:dyDescent="0.2">
      <c r="A68" s="20">
        <f t="shared" si="8"/>
        <v>39067</v>
      </c>
      <c r="B68" s="3">
        <f>11+399+0+135</f>
        <v>545</v>
      </c>
      <c r="C68" s="3">
        <f>9+1+4+19</f>
        <v>33</v>
      </c>
      <c r="D68" s="3">
        <f>3+59+0+51</f>
        <v>113</v>
      </c>
      <c r="E68" s="11">
        <f t="shared" si="9"/>
        <v>691</v>
      </c>
      <c r="F68" s="71">
        <v>564</v>
      </c>
      <c r="G68" s="3">
        <f t="shared" si="29"/>
        <v>-127</v>
      </c>
      <c r="H68" s="49">
        <f t="shared" si="30"/>
        <v>-0.13496932515337423</v>
      </c>
      <c r="I68" s="57">
        <f t="shared" ref="I68:I73" si="31">(E68-E67)/E67</f>
        <v>-1.1444921316165951E-2</v>
      </c>
      <c r="J68" s="30">
        <f t="shared" ref="J68:J73" si="32">E68-E67</f>
        <v>-8</v>
      </c>
      <c r="K68" s="13">
        <f t="shared" si="25"/>
        <v>6.8181818181818177E-2</v>
      </c>
      <c r="L68" s="3"/>
    </row>
    <row r="69" spans="1:12" ht="14.25" x14ac:dyDescent="0.2">
      <c r="A69" s="20">
        <f t="shared" si="8"/>
        <v>39074</v>
      </c>
      <c r="B69" s="3">
        <f>3+290+0+106</f>
        <v>399</v>
      </c>
      <c r="C69" s="3">
        <f>0+0+8+4</f>
        <v>12</v>
      </c>
      <c r="D69" s="3">
        <f>2+47+0+33</f>
        <v>82</v>
      </c>
      <c r="E69" s="11">
        <f t="shared" si="9"/>
        <v>493</v>
      </c>
      <c r="F69" s="12">
        <v>527</v>
      </c>
      <c r="G69" s="3">
        <f t="shared" si="29"/>
        <v>34</v>
      </c>
      <c r="H69" s="49">
        <f t="shared" si="30"/>
        <v>-6.5602836879432622E-2</v>
      </c>
      <c r="I69" s="57">
        <f t="shared" si="31"/>
        <v>-0.2865412445730825</v>
      </c>
      <c r="J69" s="30">
        <f t="shared" si="32"/>
        <v>-198</v>
      </c>
      <c r="K69" s="13">
        <f t="shared" si="25"/>
        <v>0.20871559633027523</v>
      </c>
      <c r="L69" s="3"/>
    </row>
    <row r="70" spans="1:12" ht="14.25" x14ac:dyDescent="0.2">
      <c r="A70" s="20">
        <f t="shared" si="8"/>
        <v>39081</v>
      </c>
      <c r="B70" s="3">
        <f>0+178+0+58</f>
        <v>236</v>
      </c>
      <c r="C70" s="3">
        <f>4+0+6+25</f>
        <v>35</v>
      </c>
      <c r="D70" s="3">
        <f>4+49+0+54</f>
        <v>107</v>
      </c>
      <c r="E70" s="11">
        <f t="shared" si="9"/>
        <v>378</v>
      </c>
      <c r="F70" s="12">
        <v>494</v>
      </c>
      <c r="G70" s="3">
        <f t="shared" si="29"/>
        <v>116</v>
      </c>
      <c r="H70" s="49">
        <f t="shared" si="30"/>
        <v>-6.2618595825426948E-2</v>
      </c>
      <c r="I70" s="57">
        <f t="shared" si="31"/>
        <v>-0.23326572008113591</v>
      </c>
      <c r="J70" s="30">
        <f t="shared" si="32"/>
        <v>-115</v>
      </c>
      <c r="K70" s="13">
        <f t="shared" si="25"/>
        <v>-3.1372549019607843E-2</v>
      </c>
      <c r="L70" s="3"/>
    </row>
    <row r="71" spans="1:12" ht="14.25" x14ac:dyDescent="0.2">
      <c r="A71" s="20">
        <f t="shared" si="8"/>
        <v>39088</v>
      </c>
      <c r="B71" s="3">
        <f>1+165+4+59</f>
        <v>229</v>
      </c>
      <c r="C71" s="3">
        <f>10+0+3+8</f>
        <v>21</v>
      </c>
      <c r="D71" s="3">
        <f>8+20+0+26</f>
        <v>54</v>
      </c>
      <c r="E71" s="11">
        <f t="shared" si="9"/>
        <v>304</v>
      </c>
      <c r="F71" s="12">
        <v>580</v>
      </c>
      <c r="G71" s="3">
        <f t="shared" si="29"/>
        <v>276</v>
      </c>
      <c r="H71" s="49">
        <f t="shared" si="30"/>
        <v>0.17408906882591094</v>
      </c>
      <c r="I71" s="57">
        <f t="shared" si="31"/>
        <v>-0.19576719576719576</v>
      </c>
      <c r="J71" s="30">
        <f t="shared" si="32"/>
        <v>-74</v>
      </c>
      <c r="K71" s="13">
        <f t="shared" ref="K71:K76" si="33">(F71-F19)/F19</f>
        <v>-9.375E-2</v>
      </c>
      <c r="L71" s="3"/>
    </row>
    <row r="72" spans="1:12" ht="14.25" x14ac:dyDescent="0.2">
      <c r="A72" s="20">
        <f t="shared" si="8"/>
        <v>39095</v>
      </c>
      <c r="B72" s="3">
        <f>4+233+0+84</f>
        <v>321</v>
      </c>
      <c r="C72" s="3">
        <f>5+0+1+19</f>
        <v>25</v>
      </c>
      <c r="D72" s="3">
        <f>9+89+7+57</f>
        <v>162</v>
      </c>
      <c r="E72" s="11">
        <f t="shared" si="9"/>
        <v>508</v>
      </c>
      <c r="F72" s="12">
        <v>773</v>
      </c>
      <c r="G72" s="3">
        <f t="shared" ref="G72:G77" si="34">F72-E72</f>
        <v>265</v>
      </c>
      <c r="H72" s="49">
        <f t="shared" si="30"/>
        <v>0.33275862068965517</v>
      </c>
      <c r="I72" s="57">
        <f t="shared" si="31"/>
        <v>0.67105263157894735</v>
      </c>
      <c r="J72" s="30">
        <f t="shared" si="32"/>
        <v>204</v>
      </c>
      <c r="K72" s="13">
        <f t="shared" si="33"/>
        <v>7.5104311543810851E-2</v>
      </c>
      <c r="L72" s="3"/>
    </row>
    <row r="73" spans="1:12" ht="14.25" x14ac:dyDescent="0.2">
      <c r="A73" s="20">
        <f t="shared" si="8"/>
        <v>39102</v>
      </c>
      <c r="B73" s="3">
        <f>0+145+8+65</f>
        <v>218</v>
      </c>
      <c r="C73" s="3">
        <f>3+0+1+16</f>
        <v>20</v>
      </c>
      <c r="D73" s="3">
        <f>1+105+0+64</f>
        <v>170</v>
      </c>
      <c r="E73" s="11">
        <f t="shared" si="9"/>
        <v>408</v>
      </c>
      <c r="F73" s="12">
        <v>669</v>
      </c>
      <c r="G73" s="3">
        <f t="shared" si="34"/>
        <v>261</v>
      </c>
      <c r="H73" s="49">
        <f t="shared" ref="H73:H78" si="35">(F73-F72)/F72</f>
        <v>-0.13454075032341525</v>
      </c>
      <c r="I73" s="57">
        <f t="shared" si="31"/>
        <v>-0.19685039370078741</v>
      </c>
      <c r="J73" s="30">
        <f t="shared" si="32"/>
        <v>-100</v>
      </c>
      <c r="K73" s="13">
        <f t="shared" si="33"/>
        <v>0.13389830508474576</v>
      </c>
      <c r="L73" s="3"/>
    </row>
    <row r="74" spans="1:12" ht="14.25" x14ac:dyDescent="0.2">
      <c r="A74" s="20">
        <f t="shared" si="8"/>
        <v>39109</v>
      </c>
      <c r="B74" s="3">
        <f>5+209+1+54</f>
        <v>269</v>
      </c>
      <c r="C74" s="3">
        <f>6+0+4+9</f>
        <v>19</v>
      </c>
      <c r="D74" s="3">
        <f>1+86+0+42</f>
        <v>129</v>
      </c>
      <c r="E74" s="11">
        <f t="shared" si="9"/>
        <v>417</v>
      </c>
      <c r="F74" s="12">
        <v>701</v>
      </c>
      <c r="G74" s="3">
        <f t="shared" si="34"/>
        <v>284</v>
      </c>
      <c r="H74" s="49">
        <f t="shared" si="35"/>
        <v>4.7832585949177879E-2</v>
      </c>
      <c r="I74" s="57">
        <f t="shared" ref="I74:I79" si="36">(E74-E73)/E73</f>
        <v>2.2058823529411766E-2</v>
      </c>
      <c r="J74" s="30">
        <f t="shared" ref="J74:J79" si="37">E74-E73</f>
        <v>9</v>
      </c>
      <c r="K74" s="13">
        <f t="shared" si="33"/>
        <v>-6.2834224598930483E-2</v>
      </c>
      <c r="L74" s="3"/>
    </row>
    <row r="75" spans="1:12" ht="14.25" x14ac:dyDescent="0.2">
      <c r="A75" s="20">
        <f t="shared" si="8"/>
        <v>39116</v>
      </c>
      <c r="B75" s="3">
        <f>1+88+0+26</f>
        <v>115</v>
      </c>
      <c r="C75" s="3">
        <f>2+0+13+16</f>
        <v>31</v>
      </c>
      <c r="D75" s="3">
        <f>1+84+0+50</f>
        <v>135</v>
      </c>
      <c r="E75" s="11">
        <f t="shared" si="9"/>
        <v>281</v>
      </c>
      <c r="F75" s="12">
        <v>689</v>
      </c>
      <c r="G75" s="3">
        <f t="shared" si="34"/>
        <v>408</v>
      </c>
      <c r="H75" s="49">
        <f t="shared" si="35"/>
        <v>-1.7118402282453638E-2</v>
      </c>
      <c r="I75" s="57">
        <f t="shared" si="36"/>
        <v>-0.32613908872901681</v>
      </c>
      <c r="J75" s="30">
        <f t="shared" si="37"/>
        <v>-136</v>
      </c>
      <c r="K75" s="13">
        <f t="shared" si="33"/>
        <v>-1.4492753623188406E-3</v>
      </c>
      <c r="L75" s="3"/>
    </row>
    <row r="76" spans="1:12" ht="14.25" x14ac:dyDescent="0.2">
      <c r="A76" s="20">
        <f t="shared" si="8"/>
        <v>39123</v>
      </c>
      <c r="B76" s="3">
        <f>0+106+0+36</f>
        <v>142</v>
      </c>
      <c r="C76" s="3">
        <f>6+0+5+10</f>
        <v>21</v>
      </c>
      <c r="D76" s="3">
        <f>4+61+1+26</f>
        <v>92</v>
      </c>
      <c r="E76" s="11">
        <f t="shared" si="9"/>
        <v>255</v>
      </c>
      <c r="F76" s="12">
        <v>759</v>
      </c>
      <c r="G76" s="3">
        <f t="shared" si="34"/>
        <v>504</v>
      </c>
      <c r="H76" s="49">
        <f t="shared" si="35"/>
        <v>0.10159651669085631</v>
      </c>
      <c r="I76" s="57">
        <f t="shared" si="36"/>
        <v>-9.2526690391459068E-2</v>
      </c>
      <c r="J76" s="30">
        <f t="shared" si="37"/>
        <v>-26</v>
      </c>
      <c r="K76" s="13">
        <f t="shared" si="33"/>
        <v>9.5238095238095233E-2</v>
      </c>
      <c r="L76" s="3"/>
    </row>
    <row r="77" spans="1:12" ht="14.25" x14ac:dyDescent="0.2">
      <c r="A77" s="20">
        <f t="shared" si="8"/>
        <v>39130</v>
      </c>
      <c r="B77" s="3">
        <f>0+14+0+9</f>
        <v>23</v>
      </c>
      <c r="C77" s="3">
        <f>4+0+5+20</f>
        <v>29</v>
      </c>
      <c r="D77" s="3">
        <f>5+99+10+51</f>
        <v>165</v>
      </c>
      <c r="E77" s="11">
        <f t="shared" si="9"/>
        <v>217</v>
      </c>
      <c r="F77" s="12">
        <v>920</v>
      </c>
      <c r="G77" s="3">
        <f t="shared" si="34"/>
        <v>703</v>
      </c>
      <c r="H77" s="49">
        <f t="shared" si="35"/>
        <v>0.21212121212121213</v>
      </c>
      <c r="I77" s="57">
        <f t="shared" si="36"/>
        <v>-0.14901960784313725</v>
      </c>
      <c r="J77" s="30">
        <f t="shared" si="37"/>
        <v>-38</v>
      </c>
      <c r="K77" s="13">
        <f t="shared" ref="K77:K82" si="38">(F77-F25)/F25</f>
        <v>0.4263565891472868</v>
      </c>
      <c r="L77" s="3"/>
    </row>
    <row r="78" spans="1:12" ht="14.25" x14ac:dyDescent="0.2">
      <c r="A78" s="20">
        <f t="shared" si="8"/>
        <v>39137</v>
      </c>
      <c r="B78" s="3">
        <v>22</v>
      </c>
      <c r="C78" s="3">
        <f>7+0+0+11</f>
        <v>18</v>
      </c>
      <c r="D78" s="3">
        <f>5+104+0+41</f>
        <v>150</v>
      </c>
      <c r="E78" s="11">
        <f t="shared" si="9"/>
        <v>190</v>
      </c>
      <c r="F78" s="12">
        <v>773</v>
      </c>
      <c r="G78" s="3">
        <f t="shared" ref="G78:G83" si="39">F78-E78</f>
        <v>583</v>
      </c>
      <c r="H78" s="49">
        <f t="shared" si="35"/>
        <v>-0.15978260869565217</v>
      </c>
      <c r="I78" s="57">
        <f t="shared" si="36"/>
        <v>-0.12442396313364056</v>
      </c>
      <c r="J78" s="30">
        <f t="shared" si="37"/>
        <v>-27</v>
      </c>
      <c r="K78" s="13">
        <f t="shared" si="38"/>
        <v>0.38282647584973167</v>
      </c>
      <c r="L78" s="3"/>
    </row>
    <row r="79" spans="1:12" ht="14.25" x14ac:dyDescent="0.2">
      <c r="A79" s="20">
        <f t="shared" si="8"/>
        <v>39144</v>
      </c>
      <c r="B79" s="3">
        <f>2+162+0+40</f>
        <v>204</v>
      </c>
      <c r="C79" s="3">
        <f>10+0+4+28</f>
        <v>42</v>
      </c>
      <c r="D79" s="3">
        <f>2+115+0+38</f>
        <v>155</v>
      </c>
      <c r="E79" s="11">
        <f t="shared" si="9"/>
        <v>401</v>
      </c>
      <c r="F79" s="12">
        <v>734</v>
      </c>
      <c r="G79" s="3">
        <f t="shared" si="39"/>
        <v>333</v>
      </c>
      <c r="H79" s="49">
        <f t="shared" ref="H79:H84" si="40">(F79-F78)/F78</f>
        <v>-5.0452781371280724E-2</v>
      </c>
      <c r="I79" s="57">
        <f t="shared" si="36"/>
        <v>1.1105263157894736</v>
      </c>
      <c r="J79" s="30">
        <f t="shared" si="37"/>
        <v>211</v>
      </c>
      <c r="K79" s="13">
        <f t="shared" si="38"/>
        <v>0.14866979655712051</v>
      </c>
      <c r="L79" s="3"/>
    </row>
    <row r="80" spans="1:12" ht="14.25" x14ac:dyDescent="0.2">
      <c r="A80" s="20">
        <f t="shared" si="8"/>
        <v>39151</v>
      </c>
      <c r="B80" s="3">
        <f>9+203+0+59</f>
        <v>271</v>
      </c>
      <c r="C80" s="3">
        <f>10+0+2+14</f>
        <v>26</v>
      </c>
      <c r="D80" s="3">
        <f>4+97+1+56</f>
        <v>158</v>
      </c>
      <c r="E80" s="11">
        <f t="shared" si="9"/>
        <v>455</v>
      </c>
      <c r="F80" s="12">
        <v>650</v>
      </c>
      <c r="G80" s="3">
        <f t="shared" si="39"/>
        <v>195</v>
      </c>
      <c r="H80" s="49">
        <f t="shared" si="40"/>
        <v>-0.11444141689373297</v>
      </c>
      <c r="I80" s="57">
        <f t="shared" ref="I80:I85" si="41">(E80-E79)/E79</f>
        <v>0.13466334164588528</v>
      </c>
      <c r="J80" s="30">
        <f t="shared" ref="J80:J85" si="42">E80-E79</f>
        <v>54</v>
      </c>
      <c r="K80" s="13">
        <f t="shared" si="38"/>
        <v>2.0408163265306121E-2</v>
      </c>
      <c r="L80" s="3"/>
    </row>
    <row r="81" spans="1:21" ht="14.25" x14ac:dyDescent="0.2">
      <c r="A81" s="20">
        <f t="shared" si="8"/>
        <v>39158</v>
      </c>
      <c r="B81" s="3">
        <f>2+229+0+31</f>
        <v>262</v>
      </c>
      <c r="C81" s="3">
        <f>19+0+5+17</f>
        <v>41</v>
      </c>
      <c r="D81" s="3">
        <f>4+72+0+29</f>
        <v>105</v>
      </c>
      <c r="E81" s="11">
        <f t="shared" si="9"/>
        <v>408</v>
      </c>
      <c r="F81" s="12">
        <v>571</v>
      </c>
      <c r="G81" s="3">
        <f t="shared" si="39"/>
        <v>163</v>
      </c>
      <c r="H81" s="49">
        <f t="shared" si="40"/>
        <v>-0.12153846153846154</v>
      </c>
      <c r="I81" s="57">
        <f t="shared" si="41"/>
        <v>-0.10329670329670329</v>
      </c>
      <c r="J81" s="30">
        <f t="shared" si="42"/>
        <v>-47</v>
      </c>
      <c r="K81" s="13">
        <f t="shared" si="38"/>
        <v>7.0546737213403876E-3</v>
      </c>
      <c r="L81" s="14"/>
    </row>
    <row r="82" spans="1:21" ht="14.25" x14ac:dyDescent="0.2">
      <c r="A82" s="20">
        <f t="shared" si="8"/>
        <v>39165</v>
      </c>
      <c r="B82" s="3">
        <f>3+267+0+37</f>
        <v>307</v>
      </c>
      <c r="C82" s="3">
        <f>23+0+2+18</f>
        <v>43</v>
      </c>
      <c r="D82" s="3">
        <f>10+53+0+26</f>
        <v>89</v>
      </c>
      <c r="E82" s="11">
        <f t="shared" si="9"/>
        <v>439</v>
      </c>
      <c r="F82" s="12">
        <v>541</v>
      </c>
      <c r="G82" s="3">
        <f t="shared" si="39"/>
        <v>102</v>
      </c>
      <c r="H82" s="49">
        <f t="shared" si="40"/>
        <v>-5.2539404553415062E-2</v>
      </c>
      <c r="I82" s="57">
        <f t="shared" si="41"/>
        <v>7.5980392156862739E-2</v>
      </c>
      <c r="J82" s="30">
        <f t="shared" si="42"/>
        <v>31</v>
      </c>
      <c r="K82" s="13">
        <f t="shared" si="38"/>
        <v>0.20222222222222222</v>
      </c>
      <c r="L82" s="14"/>
    </row>
    <row r="83" spans="1:21" s="15" customFormat="1" ht="14.25" x14ac:dyDescent="0.2">
      <c r="A83" s="20">
        <f t="shared" si="8"/>
        <v>39172</v>
      </c>
      <c r="B83" s="15">
        <f>6+177+0+39</f>
        <v>222</v>
      </c>
      <c r="C83" s="15">
        <f>10+0+6+4</f>
        <v>20</v>
      </c>
      <c r="D83" s="15">
        <f>2+35+0+18</f>
        <v>55</v>
      </c>
      <c r="E83" s="11">
        <f t="shared" si="9"/>
        <v>297</v>
      </c>
      <c r="F83" s="12">
        <v>471</v>
      </c>
      <c r="G83" s="3">
        <f t="shared" si="39"/>
        <v>174</v>
      </c>
      <c r="H83" s="49">
        <f t="shared" si="40"/>
        <v>-0.12939001848428835</v>
      </c>
      <c r="I83" s="57">
        <f t="shared" si="41"/>
        <v>-0.32346241457858771</v>
      </c>
      <c r="J83" s="30">
        <f t="shared" si="42"/>
        <v>-142</v>
      </c>
      <c r="K83" s="13">
        <f t="shared" ref="K83:K88" si="43">(F83-F31)/F31</f>
        <v>0.75092936802973975</v>
      </c>
      <c r="L83" s="14"/>
    </row>
    <row r="84" spans="1:21" s="15" customFormat="1" ht="14.25" x14ac:dyDescent="0.2">
      <c r="A84" s="20">
        <f t="shared" si="8"/>
        <v>39179</v>
      </c>
      <c r="B84" s="15">
        <f>14+230+0+43</f>
        <v>287</v>
      </c>
      <c r="C84" s="15">
        <f>10+0+0+18</f>
        <v>28</v>
      </c>
      <c r="D84" s="15">
        <f>2+36+12+12</f>
        <v>62</v>
      </c>
      <c r="E84" s="11">
        <f t="shared" si="9"/>
        <v>377</v>
      </c>
      <c r="F84" s="12">
        <v>291</v>
      </c>
      <c r="G84" s="3">
        <f t="shared" ref="G84:G89" si="44">F84-E84</f>
        <v>-86</v>
      </c>
      <c r="H84" s="49">
        <f t="shared" si="40"/>
        <v>-0.38216560509554143</v>
      </c>
      <c r="I84" s="57">
        <f t="shared" si="41"/>
        <v>0.26936026936026936</v>
      </c>
      <c r="J84" s="30">
        <f t="shared" si="42"/>
        <v>80</v>
      </c>
      <c r="K84" s="13">
        <f t="shared" si="43"/>
        <v>-0.20273972602739726</v>
      </c>
      <c r="L84" s="14"/>
    </row>
    <row r="85" spans="1:21" s="15" customFormat="1" ht="14.25" x14ac:dyDescent="0.2">
      <c r="A85" s="20">
        <f t="shared" si="8"/>
        <v>39186</v>
      </c>
      <c r="B85" s="15">
        <f>5+235+0+43</f>
        <v>283</v>
      </c>
      <c r="C85" s="15">
        <f>6+0+6+11</f>
        <v>23</v>
      </c>
      <c r="D85" s="15">
        <f>3+13+1+16</f>
        <v>33</v>
      </c>
      <c r="E85" s="11">
        <f t="shared" si="9"/>
        <v>339</v>
      </c>
      <c r="F85" s="12">
        <v>453</v>
      </c>
      <c r="G85" s="3">
        <f t="shared" si="44"/>
        <v>114</v>
      </c>
      <c r="H85" s="49">
        <f t="shared" ref="H85:H90" si="45">(F85-F84)/F84</f>
        <v>0.55670103092783507</v>
      </c>
      <c r="I85" s="57">
        <f t="shared" si="41"/>
        <v>-0.10079575596816977</v>
      </c>
      <c r="J85" s="30">
        <f t="shared" si="42"/>
        <v>-38</v>
      </c>
      <c r="K85" s="13">
        <f t="shared" si="43"/>
        <v>-2.9978586723768737E-2</v>
      </c>
      <c r="L85" s="14"/>
    </row>
    <row r="86" spans="1:21" s="15" customFormat="1" ht="14.25" x14ac:dyDescent="0.2">
      <c r="A86" s="20">
        <f t="shared" si="8"/>
        <v>39193</v>
      </c>
      <c r="B86" s="15">
        <f>5+288+0+70</f>
        <v>363</v>
      </c>
      <c r="C86" s="15">
        <f>4+0+1+9</f>
        <v>14</v>
      </c>
      <c r="D86" s="15">
        <f>8+23+0+10</f>
        <v>41</v>
      </c>
      <c r="E86" s="11">
        <f t="shared" si="9"/>
        <v>418</v>
      </c>
      <c r="F86" s="16">
        <v>533</v>
      </c>
      <c r="G86" s="5">
        <f t="shared" si="44"/>
        <v>115</v>
      </c>
      <c r="H86" s="49">
        <f t="shared" si="45"/>
        <v>0.17660044150110377</v>
      </c>
      <c r="I86" s="57">
        <f t="shared" ref="I86:I91" si="46">(E86-E85)/E85</f>
        <v>0.23303834808259588</v>
      </c>
      <c r="J86" s="30">
        <f t="shared" ref="J86:J91" si="47">E86-E85</f>
        <v>79</v>
      </c>
      <c r="K86" s="13">
        <f t="shared" si="43"/>
        <v>-8.5763293310463118E-2</v>
      </c>
      <c r="L86" s="14"/>
    </row>
    <row r="87" spans="1:21" s="15" customFormat="1" ht="14.25" x14ac:dyDescent="0.2">
      <c r="A87" s="20">
        <f t="shared" si="8"/>
        <v>39200</v>
      </c>
      <c r="B87" s="15">
        <f>39+274+1+54</f>
        <v>368</v>
      </c>
      <c r="C87" s="15">
        <f>8+0+5+10</f>
        <v>23</v>
      </c>
      <c r="D87" s="15">
        <f>12+18+0+7</f>
        <v>37</v>
      </c>
      <c r="E87" s="11">
        <f t="shared" si="9"/>
        <v>428</v>
      </c>
      <c r="F87" s="16">
        <v>581</v>
      </c>
      <c r="G87" s="5">
        <f t="shared" si="44"/>
        <v>153</v>
      </c>
      <c r="H87" s="49">
        <f t="shared" si="45"/>
        <v>9.0056285178236398E-2</v>
      </c>
      <c r="I87" s="57">
        <f t="shared" si="46"/>
        <v>2.3923444976076555E-2</v>
      </c>
      <c r="J87" s="30">
        <f t="shared" si="47"/>
        <v>10</v>
      </c>
      <c r="K87" s="13">
        <f t="shared" si="43"/>
        <v>0.38333333333333336</v>
      </c>
      <c r="L87" s="14"/>
    </row>
    <row r="88" spans="1:21" s="15" customFormat="1" ht="14.25" x14ac:dyDescent="0.2">
      <c r="A88" s="20">
        <f t="shared" si="8"/>
        <v>39207</v>
      </c>
      <c r="B88" s="15">
        <f>10+234+4+41</f>
        <v>289</v>
      </c>
      <c r="C88" s="15">
        <f>14+0+8+7</f>
        <v>29</v>
      </c>
      <c r="D88" s="15">
        <f>1+22+1+6</f>
        <v>30</v>
      </c>
      <c r="E88" s="11">
        <f t="shared" si="9"/>
        <v>348</v>
      </c>
      <c r="F88" s="12">
        <v>559</v>
      </c>
      <c r="G88" s="3">
        <f t="shared" si="44"/>
        <v>211</v>
      </c>
      <c r="H88" s="49">
        <f t="shared" si="45"/>
        <v>-3.7865748709122203E-2</v>
      </c>
      <c r="I88" s="57">
        <f t="shared" si="46"/>
        <v>-0.18691588785046728</v>
      </c>
      <c r="J88" s="30">
        <f t="shared" si="47"/>
        <v>-80</v>
      </c>
      <c r="K88" s="13">
        <f t="shared" si="43"/>
        <v>0.40452261306532661</v>
      </c>
      <c r="L88" s="14"/>
    </row>
    <row r="89" spans="1:21" s="15" customFormat="1" ht="14.25" x14ac:dyDescent="0.2">
      <c r="A89" s="20">
        <f t="shared" si="8"/>
        <v>39214</v>
      </c>
      <c r="B89" s="15">
        <f>8+262+3+33</f>
        <v>306</v>
      </c>
      <c r="C89" s="15">
        <f>10+0+4+6</f>
        <v>20</v>
      </c>
      <c r="D89" s="15">
        <f>4+9+0+5</f>
        <v>18</v>
      </c>
      <c r="E89" s="11">
        <f t="shared" si="9"/>
        <v>344</v>
      </c>
      <c r="F89" s="12">
        <f>362+35</f>
        <v>397</v>
      </c>
      <c r="G89" s="3">
        <f t="shared" si="44"/>
        <v>53</v>
      </c>
      <c r="H89" s="49">
        <f t="shared" si="45"/>
        <v>-0.28980322003577819</v>
      </c>
      <c r="I89" s="57">
        <f t="shared" si="46"/>
        <v>-1.1494252873563218E-2</v>
      </c>
      <c r="J89" s="30">
        <f t="shared" si="47"/>
        <v>-4</v>
      </c>
      <c r="K89" s="13">
        <f t="shared" ref="K89:K94" si="48">(F89-F37)/F37</f>
        <v>-0.30836236933797911</v>
      </c>
      <c r="L89" s="14"/>
    </row>
    <row r="90" spans="1:21" s="15" customFormat="1" ht="14.25" x14ac:dyDescent="0.2">
      <c r="A90" s="21">
        <f t="shared" si="8"/>
        <v>39221</v>
      </c>
      <c r="B90" s="15">
        <f>8+370+1+55</f>
        <v>434</v>
      </c>
      <c r="C90" s="15">
        <f>4+0+1+6</f>
        <v>11</v>
      </c>
      <c r="D90" s="15">
        <f>5+12+0+7</f>
        <v>24</v>
      </c>
      <c r="E90" s="11">
        <f t="shared" si="9"/>
        <v>469</v>
      </c>
      <c r="F90" s="12">
        <v>381</v>
      </c>
      <c r="G90" s="3">
        <f t="shared" ref="G90:G96" si="49">F90-E90</f>
        <v>-88</v>
      </c>
      <c r="H90" s="49">
        <f t="shared" si="45"/>
        <v>-4.0302267002518891E-2</v>
      </c>
      <c r="I90" s="57">
        <f t="shared" si="46"/>
        <v>0.36337209302325579</v>
      </c>
      <c r="J90" s="30">
        <f t="shared" si="47"/>
        <v>125</v>
      </c>
      <c r="K90" s="13">
        <f t="shared" si="48"/>
        <v>-0.35204081632653061</v>
      </c>
      <c r="L90" s="14"/>
      <c r="M90" s="25" t="s">
        <v>30</v>
      </c>
      <c r="N90" s="26"/>
      <c r="O90" s="26"/>
      <c r="P90" s="26"/>
      <c r="Q90" s="26"/>
      <c r="R90" s="26"/>
      <c r="S90" s="26"/>
      <c r="T90" s="26"/>
      <c r="U90" s="26"/>
    </row>
    <row r="91" spans="1:21" s="15" customFormat="1" ht="14.25" x14ac:dyDescent="0.2">
      <c r="A91" s="21">
        <f t="shared" si="8"/>
        <v>39228</v>
      </c>
      <c r="B91" s="15">
        <f>15+358+1+42</f>
        <v>416</v>
      </c>
      <c r="C91" s="15">
        <f>5+0+0+1</f>
        <v>6</v>
      </c>
      <c r="D91" s="15">
        <f>1+18+0+10</f>
        <v>29</v>
      </c>
      <c r="E91" s="11">
        <f t="shared" si="9"/>
        <v>451</v>
      </c>
      <c r="F91" s="12">
        <v>454</v>
      </c>
      <c r="G91" s="3">
        <f t="shared" si="49"/>
        <v>3</v>
      </c>
      <c r="H91" s="49">
        <f t="shared" ref="H91:H96" si="50">(F91-F90)/F90</f>
        <v>0.19160104986876642</v>
      </c>
      <c r="I91" s="57">
        <f t="shared" si="46"/>
        <v>-3.8379530916844352E-2</v>
      </c>
      <c r="J91" s="30">
        <f t="shared" si="47"/>
        <v>-18</v>
      </c>
      <c r="K91" s="13">
        <f t="shared" si="48"/>
        <v>-0.2581699346405229</v>
      </c>
      <c r="L91" s="14"/>
    </row>
    <row r="92" spans="1:21" s="15" customFormat="1" ht="14.25" x14ac:dyDescent="0.2">
      <c r="A92" s="21">
        <f t="shared" si="8"/>
        <v>39235</v>
      </c>
      <c r="B92" s="15">
        <f>7+337+4+46</f>
        <v>394</v>
      </c>
      <c r="C92" s="15">
        <f>4+0+5+7</f>
        <v>16</v>
      </c>
      <c r="D92" s="15">
        <f>4+8+2+3</f>
        <v>17</v>
      </c>
      <c r="E92" s="11">
        <f t="shared" si="9"/>
        <v>427</v>
      </c>
      <c r="F92" s="12">
        <v>466</v>
      </c>
      <c r="G92" s="3">
        <f t="shared" si="49"/>
        <v>39</v>
      </c>
      <c r="H92" s="49">
        <f t="shared" si="50"/>
        <v>2.643171806167401E-2</v>
      </c>
      <c r="I92" s="57">
        <f t="shared" ref="I92:I98" si="51">(E92-E91)/E91</f>
        <v>-5.3215077605321508E-2</v>
      </c>
      <c r="J92" s="30">
        <f t="shared" ref="J92:J98" si="52">E92-E91</f>
        <v>-24</v>
      </c>
      <c r="K92" s="13">
        <f t="shared" si="48"/>
        <v>-0.17375886524822695</v>
      </c>
      <c r="L92" s="14"/>
    </row>
    <row r="93" spans="1:21" s="15" customFormat="1" ht="14.25" x14ac:dyDescent="0.2">
      <c r="A93" s="21">
        <f t="shared" si="8"/>
        <v>39242</v>
      </c>
      <c r="B93" s="15">
        <f>2+373+0+48</f>
        <v>423</v>
      </c>
      <c r="C93" s="15">
        <f>18+0+5+8</f>
        <v>31</v>
      </c>
      <c r="D93" s="15">
        <f>0+35+0+11</f>
        <v>46</v>
      </c>
      <c r="E93" s="11">
        <f t="shared" si="9"/>
        <v>500</v>
      </c>
      <c r="F93" s="12">
        <v>483</v>
      </c>
      <c r="G93" s="3">
        <f t="shared" si="49"/>
        <v>-17</v>
      </c>
      <c r="H93" s="49">
        <f t="shared" si="50"/>
        <v>3.6480686695278972E-2</v>
      </c>
      <c r="I93" s="57">
        <f t="shared" si="51"/>
        <v>0.17096018735362997</v>
      </c>
      <c r="J93" s="30">
        <f t="shared" si="52"/>
        <v>73</v>
      </c>
      <c r="K93" s="13">
        <f t="shared" si="48"/>
        <v>-8.8679245283018862E-2</v>
      </c>
      <c r="L93" s="14"/>
    </row>
    <row r="94" spans="1:21" s="15" customFormat="1" ht="14.25" x14ac:dyDescent="0.2">
      <c r="A94" s="21">
        <f t="shared" si="8"/>
        <v>39249</v>
      </c>
      <c r="B94" s="15">
        <f>2+435+13+55</f>
        <v>505</v>
      </c>
      <c r="C94" s="15">
        <f>5+0+6+3</f>
        <v>14</v>
      </c>
      <c r="D94" s="15">
        <f>0+37+0+6</f>
        <v>43</v>
      </c>
      <c r="E94" s="11">
        <f t="shared" si="9"/>
        <v>562</v>
      </c>
      <c r="F94" s="12">
        <v>544</v>
      </c>
      <c r="G94" s="3">
        <f t="shared" si="49"/>
        <v>-18</v>
      </c>
      <c r="H94" s="49">
        <f t="shared" si="50"/>
        <v>0.12629399585921325</v>
      </c>
      <c r="I94" s="57">
        <f t="shared" si="51"/>
        <v>0.124</v>
      </c>
      <c r="J94" s="30">
        <f t="shared" si="52"/>
        <v>62</v>
      </c>
      <c r="K94" s="13">
        <f t="shared" si="48"/>
        <v>2.4482109227871938E-2</v>
      </c>
      <c r="L94" s="14"/>
    </row>
    <row r="95" spans="1:21" s="15" customFormat="1" ht="14.25" x14ac:dyDescent="0.2">
      <c r="A95" s="21">
        <f t="shared" si="8"/>
        <v>39256</v>
      </c>
      <c r="B95" s="15">
        <f>4+340+0+45</f>
        <v>389</v>
      </c>
      <c r="C95" s="15">
        <f>7+0+3+4</f>
        <v>14</v>
      </c>
      <c r="D95" s="15">
        <f>0+14+0+11</f>
        <v>25</v>
      </c>
      <c r="E95" s="11">
        <f t="shared" si="9"/>
        <v>428</v>
      </c>
      <c r="F95" s="12">
        <v>490</v>
      </c>
      <c r="G95" s="3">
        <f t="shared" si="49"/>
        <v>62</v>
      </c>
      <c r="H95" s="49">
        <f t="shared" si="50"/>
        <v>-9.9264705882352935E-2</v>
      </c>
      <c r="I95" s="57">
        <f t="shared" si="51"/>
        <v>-0.23843416370106763</v>
      </c>
      <c r="J95" s="30">
        <f t="shared" si="52"/>
        <v>-134</v>
      </c>
      <c r="K95" s="13">
        <f t="shared" ref="K95:K100" si="53">(F95-F43)/F43</f>
        <v>0.1111111111111111</v>
      </c>
      <c r="L95" s="14"/>
    </row>
    <row r="96" spans="1:21" s="15" customFormat="1" ht="14.25" x14ac:dyDescent="0.2">
      <c r="A96" s="21">
        <f t="shared" si="8"/>
        <v>39263</v>
      </c>
      <c r="B96" s="15">
        <f>6+359+1+63</f>
        <v>429</v>
      </c>
      <c r="C96" s="15">
        <f>6</f>
        <v>6</v>
      </c>
      <c r="D96" s="15">
        <f>0+15+1+7</f>
        <v>23</v>
      </c>
      <c r="E96" s="11">
        <f t="shared" si="9"/>
        <v>458</v>
      </c>
      <c r="F96" s="12">
        <v>469</v>
      </c>
      <c r="G96" s="3">
        <f t="shared" si="49"/>
        <v>11</v>
      </c>
      <c r="H96" s="49">
        <f t="shared" si="50"/>
        <v>-4.2857142857142858E-2</v>
      </c>
      <c r="I96" s="57">
        <f t="shared" si="51"/>
        <v>7.0093457943925228E-2</v>
      </c>
      <c r="J96" s="30">
        <f t="shared" si="52"/>
        <v>30</v>
      </c>
      <c r="K96" s="13">
        <f t="shared" si="53"/>
        <v>-1.2631578947368421E-2</v>
      </c>
      <c r="L96" s="14"/>
    </row>
    <row r="97" spans="1:13" s="15" customFormat="1" ht="14.25" x14ac:dyDescent="0.2">
      <c r="A97" s="21">
        <f t="shared" si="8"/>
        <v>39270</v>
      </c>
      <c r="B97" s="15">
        <f>5+426+1+99</f>
        <v>531</v>
      </c>
      <c r="C97" s="15">
        <f>1+9+0+10</f>
        <v>20</v>
      </c>
      <c r="D97" s="15">
        <f>0+21+0+6</f>
        <v>27</v>
      </c>
      <c r="E97" s="11">
        <f t="shared" si="9"/>
        <v>578</v>
      </c>
      <c r="F97" s="12">
        <v>352</v>
      </c>
      <c r="G97" s="3">
        <f t="shared" ref="G97:G103" si="54">F97-E97</f>
        <v>-226</v>
      </c>
      <c r="H97" s="49">
        <f t="shared" ref="H97:H103" si="55">(F97-F96)/F96</f>
        <v>-0.24946695095948826</v>
      </c>
      <c r="I97" s="57">
        <f t="shared" si="51"/>
        <v>0.26200873362445415</v>
      </c>
      <c r="J97" s="30">
        <f t="shared" si="52"/>
        <v>120</v>
      </c>
      <c r="K97" s="13">
        <f t="shared" si="53"/>
        <v>-0.22466960352422907</v>
      </c>
      <c r="L97" s="14"/>
    </row>
    <row r="98" spans="1:13" s="15" customFormat="1" ht="14.25" x14ac:dyDescent="0.2">
      <c r="A98" s="21">
        <f t="shared" si="8"/>
        <v>39277</v>
      </c>
      <c r="B98" s="15">
        <f>9+461+3+56</f>
        <v>529</v>
      </c>
      <c r="C98" s="15">
        <f>5+0+2+0</f>
        <v>7</v>
      </c>
      <c r="D98" s="15">
        <f>1+15+0+6</f>
        <v>22</v>
      </c>
      <c r="E98" s="11">
        <f t="shared" si="9"/>
        <v>558</v>
      </c>
      <c r="F98" s="12">
        <v>603</v>
      </c>
      <c r="G98" s="3">
        <f t="shared" si="54"/>
        <v>45</v>
      </c>
      <c r="H98" s="49">
        <f t="shared" si="55"/>
        <v>0.71306818181818177</v>
      </c>
      <c r="I98" s="57">
        <f t="shared" si="51"/>
        <v>-3.4602076124567477E-2</v>
      </c>
      <c r="J98" s="30">
        <f t="shared" si="52"/>
        <v>-20</v>
      </c>
      <c r="K98" s="13">
        <f t="shared" si="53"/>
        <v>0.15076335877862596</v>
      </c>
      <c r="L98" s="14"/>
    </row>
    <row r="99" spans="1:13" s="15" customFormat="1" ht="14.25" x14ac:dyDescent="0.2">
      <c r="A99" s="21">
        <f t="shared" si="8"/>
        <v>39284</v>
      </c>
      <c r="B99" s="15">
        <f>14+362+0+61</f>
        <v>437</v>
      </c>
      <c r="C99" s="15">
        <f>0+0+7+1</f>
        <v>8</v>
      </c>
      <c r="D99" s="15">
        <f>3+7+0+5</f>
        <v>15</v>
      </c>
      <c r="E99" s="11">
        <f t="shared" si="9"/>
        <v>460</v>
      </c>
      <c r="F99" s="12">
        <v>502</v>
      </c>
      <c r="G99" s="3">
        <f t="shared" si="54"/>
        <v>42</v>
      </c>
      <c r="H99" s="49">
        <f t="shared" si="55"/>
        <v>-0.16749585406301823</v>
      </c>
      <c r="I99" s="57">
        <f t="shared" ref="I99:I104" si="56">(E99-E98)/E98</f>
        <v>-0.17562724014336917</v>
      </c>
      <c r="J99" s="30">
        <f t="shared" ref="J99:J104" si="57">E99-E98</f>
        <v>-98</v>
      </c>
      <c r="K99" s="13">
        <f t="shared" si="53"/>
        <v>-0.14625850340136054</v>
      </c>
      <c r="L99" s="14"/>
    </row>
    <row r="100" spans="1:13" s="15" customFormat="1" ht="14.25" x14ac:dyDescent="0.2">
      <c r="A100" s="21">
        <f t="shared" si="8"/>
        <v>39291</v>
      </c>
      <c r="B100" s="15">
        <f>2+442+5+37</f>
        <v>486</v>
      </c>
      <c r="C100" s="15">
        <f>5+0+0+2</f>
        <v>7</v>
      </c>
      <c r="D100" s="15">
        <f>5+13+0+2</f>
        <v>20</v>
      </c>
      <c r="E100" s="11">
        <f t="shared" si="9"/>
        <v>513</v>
      </c>
      <c r="F100" s="12">
        <v>532</v>
      </c>
      <c r="G100" s="3">
        <f t="shared" si="54"/>
        <v>19</v>
      </c>
      <c r="H100" s="49">
        <f t="shared" si="55"/>
        <v>5.9760956175298807E-2</v>
      </c>
      <c r="I100" s="57">
        <f t="shared" si="56"/>
        <v>0.11521739130434783</v>
      </c>
      <c r="J100" s="30">
        <f t="shared" si="57"/>
        <v>53</v>
      </c>
      <c r="K100" s="13">
        <f t="shared" si="53"/>
        <v>-0.14054927302100162</v>
      </c>
      <c r="L100" s="14"/>
    </row>
    <row r="101" spans="1:13" s="15" customFormat="1" ht="14.25" x14ac:dyDescent="0.2">
      <c r="A101" s="21">
        <f t="shared" si="8"/>
        <v>39298</v>
      </c>
      <c r="B101" s="15">
        <f>7+468+0+47</f>
        <v>522</v>
      </c>
      <c r="C101" s="15">
        <f>17+0+2+2</f>
        <v>21</v>
      </c>
      <c r="D101" s="15">
        <f>10+19+0+7</f>
        <v>36</v>
      </c>
      <c r="E101" s="11">
        <f t="shared" si="9"/>
        <v>579</v>
      </c>
      <c r="F101" s="12">
        <v>525</v>
      </c>
      <c r="G101" s="3">
        <f t="shared" si="54"/>
        <v>-54</v>
      </c>
      <c r="H101" s="49">
        <f t="shared" si="55"/>
        <v>-1.3157894736842105E-2</v>
      </c>
      <c r="I101" s="57">
        <f t="shared" si="56"/>
        <v>0.12865497076023391</v>
      </c>
      <c r="J101" s="30">
        <f t="shared" si="57"/>
        <v>66</v>
      </c>
      <c r="K101" s="13">
        <f t="shared" ref="K101:K106" si="58">(F101-F49)/F49</f>
        <v>0.13636363636363635</v>
      </c>
      <c r="L101" s="14"/>
    </row>
    <row r="102" spans="1:13" s="15" customFormat="1" ht="14.25" x14ac:dyDescent="0.2">
      <c r="A102" s="21">
        <f t="shared" si="8"/>
        <v>39305</v>
      </c>
      <c r="B102" s="15">
        <f>32+322+12+40</f>
        <v>406</v>
      </c>
      <c r="C102" s="15">
        <f>23+0+5+2</f>
        <v>30</v>
      </c>
      <c r="D102" s="15">
        <f>15+6+0+3</f>
        <v>24</v>
      </c>
      <c r="E102" s="11">
        <f t="shared" si="9"/>
        <v>460</v>
      </c>
      <c r="F102" s="12">
        <v>624</v>
      </c>
      <c r="G102" s="3">
        <f t="shared" si="54"/>
        <v>164</v>
      </c>
      <c r="H102" s="49">
        <f t="shared" si="55"/>
        <v>0.18857142857142858</v>
      </c>
      <c r="I102" s="57">
        <f t="shared" si="56"/>
        <v>-0.20552677029360966</v>
      </c>
      <c r="J102" s="30">
        <f t="shared" si="57"/>
        <v>-119</v>
      </c>
      <c r="K102" s="13">
        <f t="shared" si="58"/>
        <v>0.13248638838475499</v>
      </c>
      <c r="L102" s="14"/>
    </row>
    <row r="103" spans="1:13" s="15" customFormat="1" ht="14.25" x14ac:dyDescent="0.2">
      <c r="A103" s="21">
        <f t="shared" si="8"/>
        <v>39312</v>
      </c>
      <c r="B103" s="15">
        <v>380</v>
      </c>
      <c r="C103" s="15">
        <v>20</v>
      </c>
      <c r="D103" s="15">
        <v>35</v>
      </c>
      <c r="E103" s="11">
        <f t="shared" si="9"/>
        <v>435</v>
      </c>
      <c r="F103" s="12">
        <v>589</v>
      </c>
      <c r="G103" s="15">
        <f t="shared" si="54"/>
        <v>154</v>
      </c>
      <c r="H103" s="49">
        <f t="shared" si="55"/>
        <v>-5.6089743589743592E-2</v>
      </c>
      <c r="I103" s="57">
        <f t="shared" si="56"/>
        <v>-5.434782608695652E-2</v>
      </c>
      <c r="J103" s="30">
        <f t="shared" si="57"/>
        <v>-25</v>
      </c>
      <c r="K103" s="13">
        <f t="shared" si="58"/>
        <v>-6.3593004769475353E-2</v>
      </c>
      <c r="L103" s="14"/>
    </row>
    <row r="104" spans="1:13" s="15" customFormat="1" ht="14.25" x14ac:dyDescent="0.2">
      <c r="A104" s="21">
        <f t="shared" si="8"/>
        <v>39319</v>
      </c>
      <c r="B104" s="15">
        <f>19+221+0+55</f>
        <v>295</v>
      </c>
      <c r="C104" s="15">
        <f>20+4+9+0</f>
        <v>33</v>
      </c>
      <c r="D104" s="15">
        <f>8+7+0+9</f>
        <v>24</v>
      </c>
      <c r="E104" s="11">
        <f t="shared" si="9"/>
        <v>352</v>
      </c>
      <c r="F104" s="12">
        <v>602</v>
      </c>
      <c r="G104" s="15">
        <f t="shared" ref="G104:G109" si="59">F104-E104</f>
        <v>250</v>
      </c>
      <c r="H104" s="49">
        <f t="shared" ref="H104:H109" si="60">(F104-F103)/F103</f>
        <v>2.2071307300509338E-2</v>
      </c>
      <c r="I104" s="57">
        <f t="shared" si="56"/>
        <v>-0.19080459770114944</v>
      </c>
      <c r="J104" s="30">
        <f t="shared" si="57"/>
        <v>-83</v>
      </c>
      <c r="K104" s="13">
        <f t="shared" si="58"/>
        <v>6.688963210702341E-3</v>
      </c>
      <c r="L104" s="14"/>
    </row>
    <row r="105" spans="1:13" s="15" customFormat="1" ht="14.25" x14ac:dyDescent="0.2">
      <c r="A105" s="21">
        <f t="shared" si="8"/>
        <v>39326</v>
      </c>
      <c r="B105" s="2">
        <f>39+140+5+48</f>
        <v>232</v>
      </c>
      <c r="C105" s="15">
        <f>16+7+2+0</f>
        <v>25</v>
      </c>
      <c r="D105" s="15">
        <f>11+10+3+8</f>
        <v>32</v>
      </c>
      <c r="E105" s="11">
        <f t="shared" si="9"/>
        <v>289</v>
      </c>
      <c r="F105" s="12">
        <v>655</v>
      </c>
      <c r="G105" s="15">
        <f t="shared" si="59"/>
        <v>366</v>
      </c>
      <c r="H105" s="49">
        <f t="shared" si="60"/>
        <v>8.8039867109634545E-2</v>
      </c>
      <c r="I105" s="57">
        <f t="shared" ref="I105:I110" si="61">(E105-E104)/E104</f>
        <v>-0.17897727272727273</v>
      </c>
      <c r="J105" s="30">
        <f t="shared" ref="J105:J110" si="62">E105-E104</f>
        <v>-63</v>
      </c>
      <c r="K105" s="13">
        <f t="shared" si="58"/>
        <v>0.25961538461538464</v>
      </c>
      <c r="L105" s="14"/>
      <c r="M105" s="17" t="s">
        <v>31</v>
      </c>
    </row>
    <row r="106" spans="1:13" s="15" customFormat="1" ht="14.25" x14ac:dyDescent="0.2">
      <c r="A106" s="21">
        <f t="shared" si="8"/>
        <v>39333</v>
      </c>
      <c r="B106" s="2">
        <f>14+118+1+30</f>
        <v>163</v>
      </c>
      <c r="C106" s="15">
        <f>7+11+5+3</f>
        <v>26</v>
      </c>
      <c r="D106" s="15">
        <f>17+36+0+9</f>
        <v>62</v>
      </c>
      <c r="E106" s="11">
        <f t="shared" si="9"/>
        <v>251</v>
      </c>
      <c r="F106" s="12">
        <v>672</v>
      </c>
      <c r="G106" s="15">
        <f t="shared" si="59"/>
        <v>421</v>
      </c>
      <c r="H106" s="49">
        <f t="shared" si="60"/>
        <v>2.5954198473282442E-2</v>
      </c>
      <c r="I106" s="57">
        <f t="shared" si="61"/>
        <v>-0.13148788927335639</v>
      </c>
      <c r="J106" s="30">
        <f t="shared" si="62"/>
        <v>-38</v>
      </c>
      <c r="K106" s="13">
        <f t="shared" si="58"/>
        <v>0.19148936170212766</v>
      </c>
      <c r="L106" s="14"/>
    </row>
    <row r="107" spans="1:13" s="15" customFormat="1" ht="14.25" x14ac:dyDescent="0.2">
      <c r="A107" s="21">
        <f t="shared" si="8"/>
        <v>39340</v>
      </c>
      <c r="B107" s="2">
        <f>44+107+9+19</f>
        <v>179</v>
      </c>
      <c r="C107" s="15">
        <f>13+6+7+5</f>
        <v>31</v>
      </c>
      <c r="D107" s="15">
        <f>10+42+1+3</f>
        <v>56</v>
      </c>
      <c r="E107" s="11">
        <f t="shared" si="9"/>
        <v>266</v>
      </c>
      <c r="F107" s="12">
        <v>712</v>
      </c>
      <c r="G107" s="15">
        <f t="shared" si="59"/>
        <v>446</v>
      </c>
      <c r="H107" s="49">
        <f t="shared" si="60"/>
        <v>5.9523809523809521E-2</v>
      </c>
      <c r="I107" s="57">
        <f t="shared" si="61"/>
        <v>5.9760956175298807E-2</v>
      </c>
      <c r="J107" s="30">
        <f t="shared" si="62"/>
        <v>15</v>
      </c>
      <c r="K107" s="13">
        <f t="shared" ref="K107:K112" si="63">(F107-F55)/F55</f>
        <v>0.13375796178343949</v>
      </c>
      <c r="L107" s="14"/>
    </row>
    <row r="108" spans="1:13" s="15" customFormat="1" ht="14.25" x14ac:dyDescent="0.2">
      <c r="A108" s="21">
        <f t="shared" si="8"/>
        <v>39347</v>
      </c>
      <c r="B108" s="2">
        <f>0+129+3+36</f>
        <v>168</v>
      </c>
      <c r="C108" s="15">
        <f>4+1+6+2</f>
        <v>13</v>
      </c>
      <c r="D108" s="15">
        <f>1+69+2+1</f>
        <v>73</v>
      </c>
      <c r="E108" s="11">
        <f t="shared" si="9"/>
        <v>254</v>
      </c>
      <c r="F108" s="12">
        <v>720</v>
      </c>
      <c r="G108" s="15">
        <f t="shared" si="59"/>
        <v>466</v>
      </c>
      <c r="H108" s="49">
        <f t="shared" si="60"/>
        <v>1.1235955056179775E-2</v>
      </c>
      <c r="I108" s="57">
        <f t="shared" si="61"/>
        <v>-4.5112781954887216E-2</v>
      </c>
      <c r="J108" s="30">
        <f t="shared" si="62"/>
        <v>-12</v>
      </c>
      <c r="K108" s="13">
        <f t="shared" si="63"/>
        <v>0.35084427767354598</v>
      </c>
      <c r="L108" s="14"/>
    </row>
    <row r="109" spans="1:13" s="15" customFormat="1" ht="14.25" x14ac:dyDescent="0.2">
      <c r="A109" s="21">
        <f t="shared" si="8"/>
        <v>39354</v>
      </c>
      <c r="B109" s="2">
        <f>11+154+4+45</f>
        <v>214</v>
      </c>
      <c r="C109" s="15">
        <f>17+2+7+12</f>
        <v>38</v>
      </c>
      <c r="D109" s="15">
        <f>0+75+2+5</f>
        <v>82</v>
      </c>
      <c r="E109" s="11">
        <f t="shared" si="9"/>
        <v>334</v>
      </c>
      <c r="F109" s="12">
        <v>650</v>
      </c>
      <c r="G109" s="15">
        <f t="shared" si="59"/>
        <v>316</v>
      </c>
      <c r="H109" s="49">
        <f t="shared" si="60"/>
        <v>-9.7222222222222224E-2</v>
      </c>
      <c r="I109" s="57">
        <f t="shared" si="61"/>
        <v>0.31496062992125984</v>
      </c>
      <c r="J109" s="30">
        <f t="shared" si="62"/>
        <v>80</v>
      </c>
      <c r="K109" s="13">
        <f t="shared" si="63"/>
        <v>0.2922465208747515</v>
      </c>
      <c r="L109" s="14"/>
    </row>
    <row r="110" spans="1:13" s="15" customFormat="1" ht="14.25" x14ac:dyDescent="0.2">
      <c r="A110" s="21">
        <f t="shared" si="8"/>
        <v>39361</v>
      </c>
      <c r="B110" s="2">
        <f>4+150+2+85</f>
        <v>241</v>
      </c>
      <c r="C110" s="15">
        <f>15+0+4+2</f>
        <v>21</v>
      </c>
      <c r="D110" s="15">
        <f>8+91+0+12</f>
        <v>111</v>
      </c>
      <c r="E110" s="11">
        <f t="shared" si="9"/>
        <v>373</v>
      </c>
      <c r="F110" s="12">
        <v>659</v>
      </c>
      <c r="G110" s="15">
        <f t="shared" ref="G110:G115" si="64">F110-E110</f>
        <v>286</v>
      </c>
      <c r="H110" s="49">
        <f t="shared" ref="H110:H115" si="65">(F110-F109)/F109</f>
        <v>1.3846153846153847E-2</v>
      </c>
      <c r="I110" s="57">
        <f t="shared" si="61"/>
        <v>0.11676646706586827</v>
      </c>
      <c r="J110" s="30">
        <f t="shared" si="62"/>
        <v>39</v>
      </c>
      <c r="K110" s="13">
        <f t="shared" si="63"/>
        <v>4.2721518987341771E-2</v>
      </c>
      <c r="L110" s="14"/>
    </row>
    <row r="111" spans="1:13" s="15" customFormat="1" ht="14.25" x14ac:dyDescent="0.2">
      <c r="A111" s="21">
        <f t="shared" si="8"/>
        <v>39368</v>
      </c>
      <c r="B111" s="2">
        <f>4+244+0+82</f>
        <v>330</v>
      </c>
      <c r="C111" s="15">
        <f>17+0+9+9</f>
        <v>35</v>
      </c>
      <c r="D111" s="15">
        <f>0+75+6+33</f>
        <v>114</v>
      </c>
      <c r="E111" s="11">
        <f t="shared" si="9"/>
        <v>479</v>
      </c>
      <c r="F111" s="12">
        <v>703</v>
      </c>
      <c r="G111" s="15">
        <f t="shared" si="64"/>
        <v>224</v>
      </c>
      <c r="H111" s="49">
        <f t="shared" si="65"/>
        <v>6.6767830045523516E-2</v>
      </c>
      <c r="I111" s="57">
        <f t="shared" ref="I111:I116" si="66">(E111-E110)/E110</f>
        <v>0.28418230563002683</v>
      </c>
      <c r="J111" s="30">
        <f t="shared" ref="J111:J116" si="67">E111-E110</f>
        <v>106</v>
      </c>
      <c r="K111" s="13">
        <f t="shared" si="63"/>
        <v>0.15245901639344261</v>
      </c>
      <c r="L111" s="14"/>
    </row>
    <row r="112" spans="1:13" s="15" customFormat="1" ht="14.25" x14ac:dyDescent="0.2">
      <c r="A112" s="21">
        <f t="shared" si="8"/>
        <v>39375</v>
      </c>
      <c r="B112" s="15">
        <f>6+293+0+75</f>
        <v>374</v>
      </c>
      <c r="C112" s="15">
        <f>5+0+5+12</f>
        <v>22</v>
      </c>
      <c r="D112" s="15">
        <f>1+67+1+30</f>
        <v>99</v>
      </c>
      <c r="E112" s="11">
        <f t="shared" si="9"/>
        <v>495</v>
      </c>
      <c r="F112" s="12">
        <v>640</v>
      </c>
      <c r="G112" s="15">
        <f t="shared" si="64"/>
        <v>145</v>
      </c>
      <c r="H112" s="49">
        <f t="shared" si="65"/>
        <v>-8.9615931721194877E-2</v>
      </c>
      <c r="I112" s="57">
        <f t="shared" si="66"/>
        <v>3.3402922755741124E-2</v>
      </c>
      <c r="J112" s="30">
        <f t="shared" si="67"/>
        <v>16</v>
      </c>
      <c r="K112" s="13">
        <f t="shared" si="63"/>
        <v>1.5873015873015872E-2</v>
      </c>
    </row>
    <row r="113" spans="1:13" s="15" customFormat="1" ht="14.25" x14ac:dyDescent="0.2">
      <c r="A113" s="21">
        <f t="shared" si="8"/>
        <v>39382</v>
      </c>
      <c r="B113" s="15">
        <f>8+363+7+56</f>
        <v>434</v>
      </c>
      <c r="C113" s="15">
        <f>14+0+3+9</f>
        <v>26</v>
      </c>
      <c r="D113" s="15">
        <f>1+52+10+18</f>
        <v>81</v>
      </c>
      <c r="E113" s="11">
        <f t="shared" si="9"/>
        <v>541</v>
      </c>
      <c r="F113" s="12">
        <v>601</v>
      </c>
      <c r="G113" s="15">
        <f t="shared" si="64"/>
        <v>60</v>
      </c>
      <c r="H113" s="49">
        <f t="shared" si="65"/>
        <v>-6.0937499999999999E-2</v>
      </c>
      <c r="I113" s="57">
        <f t="shared" si="66"/>
        <v>9.2929292929292931E-2</v>
      </c>
      <c r="J113" s="30">
        <f t="shared" si="67"/>
        <v>46</v>
      </c>
      <c r="K113" s="13">
        <f t="shared" ref="K113:K118" si="68">(F113-F61)/F61</f>
        <v>-0.12645348837209303</v>
      </c>
    </row>
    <row r="114" spans="1:13" s="15" customFormat="1" ht="14.25" x14ac:dyDescent="0.2">
      <c r="A114" s="21">
        <f t="shared" si="8"/>
        <v>39389</v>
      </c>
      <c r="B114" s="15">
        <f>8+323+0+11</f>
        <v>342</v>
      </c>
      <c r="C114" s="15">
        <f>11+0+1+6</f>
        <v>18</v>
      </c>
      <c r="D114" s="15">
        <f>0+31+0+7</f>
        <v>38</v>
      </c>
      <c r="E114" s="11">
        <f t="shared" si="9"/>
        <v>398</v>
      </c>
      <c r="F114" s="12">
        <v>775</v>
      </c>
      <c r="G114" s="15">
        <f t="shared" si="64"/>
        <v>377</v>
      </c>
      <c r="H114" s="49">
        <f t="shared" si="65"/>
        <v>0.28951747088186358</v>
      </c>
      <c r="I114" s="57">
        <f t="shared" si="66"/>
        <v>-0.26432532347504623</v>
      </c>
      <c r="J114" s="30">
        <f t="shared" si="67"/>
        <v>-143</v>
      </c>
      <c r="K114" s="13">
        <f t="shared" si="68"/>
        <v>-5.1347881899871627E-3</v>
      </c>
    </row>
    <row r="115" spans="1:13" s="15" customFormat="1" ht="14.25" x14ac:dyDescent="0.2">
      <c r="A115" s="21">
        <f t="shared" si="8"/>
        <v>39396</v>
      </c>
      <c r="B115" s="15">
        <f>4+507+0+96</f>
        <v>607</v>
      </c>
      <c r="C115" s="15">
        <f>8+0+7+20</f>
        <v>35</v>
      </c>
      <c r="D115" s="15">
        <f>0+31+0+14</f>
        <v>45</v>
      </c>
      <c r="E115" s="11">
        <f t="shared" si="9"/>
        <v>687</v>
      </c>
      <c r="F115" s="12">
        <v>790</v>
      </c>
      <c r="G115" s="15">
        <f t="shared" si="64"/>
        <v>103</v>
      </c>
      <c r="H115" s="49">
        <f t="shared" si="65"/>
        <v>1.935483870967742E-2</v>
      </c>
      <c r="I115" s="57">
        <f t="shared" si="66"/>
        <v>0.72613065326633164</v>
      </c>
      <c r="J115" s="30">
        <f t="shared" si="67"/>
        <v>289</v>
      </c>
      <c r="K115" s="13">
        <f t="shared" si="68"/>
        <v>0.16176470588235295</v>
      </c>
    </row>
    <row r="116" spans="1:13" s="15" customFormat="1" ht="14.25" x14ac:dyDescent="0.2">
      <c r="A116" s="21">
        <f t="shared" si="8"/>
        <v>39403</v>
      </c>
      <c r="B116" s="15">
        <f>4+489+0+73</f>
        <v>566</v>
      </c>
      <c r="C116" s="15">
        <f>5+0+1+16</f>
        <v>22</v>
      </c>
      <c r="D116" s="15">
        <f>4+81+0+22</f>
        <v>107</v>
      </c>
      <c r="E116" s="11">
        <f t="shared" si="9"/>
        <v>695</v>
      </c>
      <c r="F116" s="12">
        <v>771</v>
      </c>
      <c r="G116" s="15">
        <f t="shared" ref="G116:G121" si="69">F116-E116</f>
        <v>76</v>
      </c>
      <c r="H116" s="49">
        <f t="shared" ref="H116:H121" si="70">(F116-F115)/F115</f>
        <v>-2.4050632911392405E-2</v>
      </c>
      <c r="I116" s="57">
        <f t="shared" si="66"/>
        <v>1.1644832605531296E-2</v>
      </c>
      <c r="J116" s="30">
        <f t="shared" si="67"/>
        <v>8</v>
      </c>
      <c r="K116" s="13">
        <f t="shared" si="68"/>
        <v>0.15939849624060151</v>
      </c>
    </row>
    <row r="117" spans="1:13" s="15" customFormat="1" ht="14.25" x14ac:dyDescent="0.2">
      <c r="A117" s="21">
        <f t="shared" si="8"/>
        <v>39410</v>
      </c>
      <c r="B117" s="15">
        <f>6+447+8+87</f>
        <v>548</v>
      </c>
      <c r="C117" s="15">
        <f>3+0+6+40</f>
        <v>49</v>
      </c>
      <c r="D117" s="15">
        <f>1+79+0+18</f>
        <v>98</v>
      </c>
      <c r="E117" s="11">
        <f t="shared" si="9"/>
        <v>695</v>
      </c>
      <c r="F117" s="12">
        <v>794</v>
      </c>
      <c r="G117" s="15">
        <f t="shared" si="69"/>
        <v>99</v>
      </c>
      <c r="H117" s="49">
        <f t="shared" si="70"/>
        <v>2.9831387808041506E-2</v>
      </c>
      <c r="I117" s="57">
        <f t="shared" ref="I117:I122" si="71">(E117-E116)/E116</f>
        <v>0</v>
      </c>
      <c r="J117" s="30">
        <f t="shared" ref="J117:J122" si="72">E117-E116</f>
        <v>0</v>
      </c>
      <c r="K117" s="13">
        <f t="shared" si="68"/>
        <v>0.34348561759729274</v>
      </c>
    </row>
    <row r="118" spans="1:13" s="15" customFormat="1" ht="14.25" x14ac:dyDescent="0.2">
      <c r="A118" s="21">
        <f t="shared" si="8"/>
        <v>39417</v>
      </c>
      <c r="B118" s="15">
        <f>16+350+2+111</f>
        <v>479</v>
      </c>
      <c r="C118" s="15">
        <f>2+0+3+42</f>
        <v>47</v>
      </c>
      <c r="D118" s="15">
        <f>0+29+1+18</f>
        <v>48</v>
      </c>
      <c r="E118" s="11">
        <f t="shared" si="9"/>
        <v>574</v>
      </c>
      <c r="F118" s="12">
        <v>735</v>
      </c>
      <c r="G118" s="15">
        <f t="shared" si="69"/>
        <v>161</v>
      </c>
      <c r="H118" s="49">
        <f t="shared" si="70"/>
        <v>-7.4307304785894202E-2</v>
      </c>
      <c r="I118" s="57">
        <f t="shared" si="71"/>
        <v>-0.17410071942446043</v>
      </c>
      <c r="J118" s="30">
        <f t="shared" si="72"/>
        <v>-121</v>
      </c>
      <c r="K118" s="13">
        <f t="shared" si="68"/>
        <v>9.375E-2</v>
      </c>
    </row>
    <row r="119" spans="1:13" s="15" customFormat="1" ht="14.25" x14ac:dyDescent="0.2">
      <c r="A119" s="21">
        <f t="shared" si="8"/>
        <v>39424</v>
      </c>
      <c r="B119" s="15">
        <f>9+324+0+119</f>
        <v>452</v>
      </c>
      <c r="C119" s="15">
        <f>1+1+10+8</f>
        <v>20</v>
      </c>
      <c r="D119" s="15">
        <f>9+81+0+33</f>
        <v>123</v>
      </c>
      <c r="E119" s="11">
        <f t="shared" si="9"/>
        <v>595</v>
      </c>
      <c r="F119" s="12">
        <v>778</v>
      </c>
      <c r="G119" s="15">
        <f t="shared" si="69"/>
        <v>183</v>
      </c>
      <c r="H119" s="49">
        <f t="shared" si="70"/>
        <v>5.8503401360544216E-2</v>
      </c>
      <c r="I119" s="57">
        <f t="shared" si="71"/>
        <v>3.6585365853658534E-2</v>
      </c>
      <c r="J119" s="30">
        <f t="shared" si="72"/>
        <v>21</v>
      </c>
      <c r="K119" s="13">
        <f t="shared" ref="K119:K124" si="73">(F119-F67)/F67</f>
        <v>0.19325153374233128</v>
      </c>
    </row>
    <row r="120" spans="1:13" s="15" customFormat="1" ht="14.25" x14ac:dyDescent="0.2">
      <c r="A120" s="21">
        <f t="shared" si="8"/>
        <v>39431</v>
      </c>
      <c r="B120" s="15">
        <f>8+305+0+93</f>
        <v>406</v>
      </c>
      <c r="C120" s="15">
        <f>5+5+8+20</f>
        <v>38</v>
      </c>
      <c r="D120" s="15">
        <f>1+53+1+17</f>
        <v>72</v>
      </c>
      <c r="E120" s="11">
        <f t="shared" si="9"/>
        <v>516</v>
      </c>
      <c r="F120" s="12">
        <v>718</v>
      </c>
      <c r="G120" s="15">
        <f t="shared" si="69"/>
        <v>202</v>
      </c>
      <c r="H120" s="49">
        <f t="shared" si="70"/>
        <v>-7.7120822622107968E-2</v>
      </c>
      <c r="I120" s="57">
        <f t="shared" si="71"/>
        <v>-0.13277310924369748</v>
      </c>
      <c r="J120" s="30">
        <f t="shared" si="72"/>
        <v>-79</v>
      </c>
      <c r="K120" s="13">
        <f t="shared" si="73"/>
        <v>0.27304964539007093</v>
      </c>
    </row>
    <row r="121" spans="1:13" s="15" customFormat="1" ht="14.25" x14ac:dyDescent="0.2">
      <c r="A121" s="21">
        <f t="shared" si="8"/>
        <v>39438</v>
      </c>
      <c r="B121" s="15">
        <f>3+131+0+36</f>
        <v>170</v>
      </c>
      <c r="C121" s="15">
        <f>5+2+7+25</f>
        <v>39</v>
      </c>
      <c r="D121" s="15">
        <f>3+54+7+9</f>
        <v>73</v>
      </c>
      <c r="E121" s="11">
        <f t="shared" si="9"/>
        <v>282</v>
      </c>
      <c r="F121" s="12">
        <v>721</v>
      </c>
      <c r="G121" s="15">
        <f t="shared" si="69"/>
        <v>439</v>
      </c>
      <c r="H121" s="49">
        <f t="shared" si="70"/>
        <v>4.178272980501393E-3</v>
      </c>
      <c r="I121" s="57">
        <f t="shared" si="71"/>
        <v>-0.45348837209302323</v>
      </c>
      <c r="J121" s="30">
        <f t="shared" si="72"/>
        <v>-234</v>
      </c>
      <c r="K121" s="13">
        <f t="shared" si="73"/>
        <v>0.36812144212523717</v>
      </c>
      <c r="M121" s="17" t="s">
        <v>32</v>
      </c>
    </row>
    <row r="122" spans="1:13" s="15" customFormat="1" ht="14.25" x14ac:dyDescent="0.2">
      <c r="A122" s="21">
        <f t="shared" si="8"/>
        <v>39445</v>
      </c>
      <c r="B122" s="15">
        <f>0+271+12+23</f>
        <v>306</v>
      </c>
      <c r="C122" s="15">
        <f>7+3+2+21</f>
        <v>33</v>
      </c>
      <c r="D122" s="15">
        <f>1+71+3+43</f>
        <v>118</v>
      </c>
      <c r="E122" s="11">
        <f t="shared" si="9"/>
        <v>457</v>
      </c>
      <c r="F122" s="12">
        <v>632</v>
      </c>
      <c r="G122" s="15">
        <f t="shared" ref="G122:G128" si="74">F122-E122</f>
        <v>175</v>
      </c>
      <c r="H122" s="49">
        <f t="shared" ref="H122:H127" si="75">(F122-F121)/F121</f>
        <v>-0.12343966712898752</v>
      </c>
      <c r="I122" s="57">
        <f t="shared" si="71"/>
        <v>0.62056737588652477</v>
      </c>
      <c r="J122" s="30">
        <f t="shared" si="72"/>
        <v>175</v>
      </c>
      <c r="K122" s="13">
        <f t="shared" si="73"/>
        <v>0.2793522267206478</v>
      </c>
    </row>
    <row r="123" spans="1:13" s="15" customFormat="1" ht="14.25" x14ac:dyDescent="0.2">
      <c r="A123" s="21">
        <f t="shared" ref="A123:A152" si="76">7+A122</f>
        <v>39452</v>
      </c>
      <c r="B123" s="15">
        <f>3+182+1+46</f>
        <v>232</v>
      </c>
      <c r="C123" s="15">
        <f>6+3+8+17</f>
        <v>34</v>
      </c>
      <c r="D123" s="15">
        <f>1+74+2+29</f>
        <v>106</v>
      </c>
      <c r="E123" s="11">
        <f t="shared" si="9"/>
        <v>372</v>
      </c>
      <c r="F123" s="12">
        <v>648</v>
      </c>
      <c r="G123" s="15">
        <f t="shared" si="74"/>
        <v>276</v>
      </c>
      <c r="H123" s="49">
        <f t="shared" si="75"/>
        <v>2.5316455696202531E-2</v>
      </c>
      <c r="I123" s="57">
        <f t="shared" ref="I123:I128" si="77">(E123-E122)/E122</f>
        <v>-0.18599562363238512</v>
      </c>
      <c r="J123" s="30">
        <f t="shared" ref="J123:J128" si="78">E123-E122</f>
        <v>-85</v>
      </c>
      <c r="K123" s="13">
        <f t="shared" si="73"/>
        <v>0.11724137931034483</v>
      </c>
    </row>
    <row r="124" spans="1:13" s="15" customFormat="1" ht="14.25" x14ac:dyDescent="0.2">
      <c r="A124" s="21">
        <f t="shared" si="76"/>
        <v>39459</v>
      </c>
      <c r="B124" s="15">
        <f>1+124+0+58</f>
        <v>183</v>
      </c>
      <c r="C124" s="15">
        <f>8+0+2+14</f>
        <v>24</v>
      </c>
      <c r="D124" s="15">
        <f>1+99+10+41</f>
        <v>151</v>
      </c>
      <c r="E124" s="11">
        <f t="shared" si="9"/>
        <v>358</v>
      </c>
      <c r="F124" s="12">
        <v>750</v>
      </c>
      <c r="G124" s="15">
        <f t="shared" si="74"/>
        <v>392</v>
      </c>
      <c r="H124" s="49">
        <f t="shared" si="75"/>
        <v>0.15740740740740741</v>
      </c>
      <c r="I124" s="57">
        <f t="shared" si="77"/>
        <v>-3.7634408602150539E-2</v>
      </c>
      <c r="J124" s="30">
        <f t="shared" si="78"/>
        <v>-14</v>
      </c>
      <c r="K124" s="13">
        <f t="shared" si="73"/>
        <v>-2.9754204398447608E-2</v>
      </c>
    </row>
    <row r="125" spans="1:13" s="15" customFormat="1" ht="14.25" x14ac:dyDescent="0.2">
      <c r="A125" s="21">
        <f t="shared" si="76"/>
        <v>39466</v>
      </c>
      <c r="B125" s="15">
        <f>0+111+0+35</f>
        <v>146</v>
      </c>
      <c r="C125" s="15">
        <f>4+0+3+23</f>
        <v>30</v>
      </c>
      <c r="D125" s="15">
        <f>1+106+6+31</f>
        <v>144</v>
      </c>
      <c r="E125" s="11">
        <f t="shared" si="9"/>
        <v>320</v>
      </c>
      <c r="F125" s="12">
        <v>685</v>
      </c>
      <c r="G125" s="15">
        <f t="shared" si="74"/>
        <v>365</v>
      </c>
      <c r="H125" s="49">
        <f t="shared" si="75"/>
        <v>-8.666666666666667E-2</v>
      </c>
      <c r="I125" s="57">
        <f t="shared" si="77"/>
        <v>-0.10614525139664804</v>
      </c>
      <c r="J125" s="30">
        <f t="shared" si="78"/>
        <v>-38</v>
      </c>
      <c r="K125" s="13">
        <f t="shared" ref="K125:K130" si="79">(F125-F73)/F73</f>
        <v>2.391629297458894E-2</v>
      </c>
    </row>
    <row r="126" spans="1:13" s="15" customFormat="1" ht="14.25" x14ac:dyDescent="0.2">
      <c r="A126" s="21">
        <f t="shared" si="76"/>
        <v>39473</v>
      </c>
      <c r="B126" s="15">
        <v>150</v>
      </c>
      <c r="C126" s="15">
        <v>30</v>
      </c>
      <c r="D126" s="15">
        <v>171</v>
      </c>
      <c r="E126" s="11">
        <f t="shared" si="9"/>
        <v>351</v>
      </c>
      <c r="F126" s="18">
        <v>648</v>
      </c>
      <c r="G126" s="15">
        <f t="shared" si="74"/>
        <v>297</v>
      </c>
      <c r="H126" s="49">
        <f t="shared" si="75"/>
        <v>-5.4014598540145987E-2</v>
      </c>
      <c r="I126" s="57">
        <f t="shared" si="77"/>
        <v>9.6875000000000003E-2</v>
      </c>
      <c r="J126" s="30">
        <f t="shared" si="78"/>
        <v>31</v>
      </c>
      <c r="K126" s="13">
        <f t="shared" si="79"/>
        <v>-7.5606276747503573E-2</v>
      </c>
    </row>
    <row r="127" spans="1:13" s="15" customFormat="1" ht="14.25" x14ac:dyDescent="0.2">
      <c r="A127" s="21">
        <f t="shared" si="76"/>
        <v>39480</v>
      </c>
      <c r="B127" s="15">
        <f>0+116+0+20</f>
        <v>136</v>
      </c>
      <c r="C127" s="15">
        <f>5+0+4+13</f>
        <v>22</v>
      </c>
      <c r="D127" s="15">
        <f>0+130+3+50</f>
        <v>183</v>
      </c>
      <c r="E127" s="11">
        <f t="shared" si="9"/>
        <v>341</v>
      </c>
      <c r="F127" s="18">
        <v>770</v>
      </c>
      <c r="G127" s="15">
        <f t="shared" si="74"/>
        <v>429</v>
      </c>
      <c r="H127" s="49">
        <f t="shared" si="75"/>
        <v>0.18827160493827161</v>
      </c>
      <c r="I127" s="57">
        <f t="shared" si="77"/>
        <v>-2.8490028490028491E-2</v>
      </c>
      <c r="J127" s="30">
        <f t="shared" si="78"/>
        <v>-10</v>
      </c>
      <c r="K127" s="13">
        <f t="shared" si="79"/>
        <v>0.11756168359941944</v>
      </c>
    </row>
    <row r="128" spans="1:13" s="15" customFormat="1" ht="14.25" x14ac:dyDescent="0.2">
      <c r="A128" s="21">
        <f t="shared" si="76"/>
        <v>39487</v>
      </c>
      <c r="B128" s="15">
        <f>1+157+0+39</f>
        <v>197</v>
      </c>
      <c r="C128" s="15">
        <f>2+0+5+9</f>
        <v>16</v>
      </c>
      <c r="D128" s="15">
        <f>8+107+5+63</f>
        <v>183</v>
      </c>
      <c r="E128" s="11">
        <f t="shared" si="9"/>
        <v>396</v>
      </c>
      <c r="F128" s="18">
        <v>749</v>
      </c>
      <c r="G128" s="15">
        <f t="shared" si="74"/>
        <v>353</v>
      </c>
      <c r="H128" s="49">
        <f t="shared" ref="H128:H133" si="80">(F128-F127)/F127</f>
        <v>-2.7272727272727271E-2</v>
      </c>
      <c r="I128" s="57">
        <f t="shared" si="77"/>
        <v>0.16129032258064516</v>
      </c>
      <c r="J128" s="30">
        <f t="shared" si="78"/>
        <v>55</v>
      </c>
      <c r="K128" s="13">
        <f t="shared" si="79"/>
        <v>-1.3175230566534914E-2</v>
      </c>
    </row>
    <row r="129" spans="1:13" s="15" customFormat="1" ht="14.25" x14ac:dyDescent="0.2">
      <c r="A129" s="21">
        <f t="shared" si="76"/>
        <v>39494</v>
      </c>
      <c r="B129" s="15">
        <f>11+62+0+37</f>
        <v>110</v>
      </c>
      <c r="C129" s="15">
        <f>7+0+7+30</f>
        <v>44</v>
      </c>
      <c r="D129" s="15">
        <f>5+60+0+25</f>
        <v>90</v>
      </c>
      <c r="E129" s="11">
        <f t="shared" si="9"/>
        <v>244</v>
      </c>
      <c r="F129" s="18">
        <v>757</v>
      </c>
      <c r="G129" s="15">
        <f t="shared" ref="G129:G134" si="81">F129-E129</f>
        <v>513</v>
      </c>
      <c r="H129" s="49">
        <f t="shared" si="80"/>
        <v>1.0680907877169559E-2</v>
      </c>
      <c r="I129" s="57">
        <f t="shared" ref="I129:I134" si="82">(E129-E128)/E128</f>
        <v>-0.38383838383838381</v>
      </c>
      <c r="J129" s="30">
        <f t="shared" ref="J129:J134" si="83">E129-E128</f>
        <v>-152</v>
      </c>
      <c r="K129" s="13">
        <f t="shared" si="79"/>
        <v>-0.17717391304347826</v>
      </c>
    </row>
    <row r="130" spans="1:13" s="15" customFormat="1" ht="14.25" x14ac:dyDescent="0.2">
      <c r="A130" s="21">
        <f t="shared" si="76"/>
        <v>39501</v>
      </c>
      <c r="B130" s="15">
        <f>1+106+1+52</f>
        <v>160</v>
      </c>
      <c r="C130" s="15">
        <f>3+0+4+22</f>
        <v>29</v>
      </c>
      <c r="D130" s="15">
        <f>9+102+3+42</f>
        <v>156</v>
      </c>
      <c r="E130" s="11">
        <f t="shared" si="9"/>
        <v>345</v>
      </c>
      <c r="F130" s="18">
        <v>607</v>
      </c>
      <c r="G130" s="15">
        <f t="shared" si="81"/>
        <v>262</v>
      </c>
      <c r="H130" s="49">
        <f t="shared" si="80"/>
        <v>-0.19815059445178335</v>
      </c>
      <c r="I130" s="57">
        <f t="shared" si="82"/>
        <v>0.41393442622950821</v>
      </c>
      <c r="J130" s="30">
        <f t="shared" si="83"/>
        <v>101</v>
      </c>
      <c r="K130" s="13">
        <f t="shared" si="79"/>
        <v>-0.2147477360931436</v>
      </c>
    </row>
    <row r="131" spans="1:13" s="15" customFormat="1" ht="14.25" x14ac:dyDescent="0.2">
      <c r="A131" s="21">
        <f t="shared" si="76"/>
        <v>39508</v>
      </c>
      <c r="B131" s="15">
        <f>1+103+0+22</f>
        <v>126</v>
      </c>
      <c r="C131" s="15">
        <f>3+0+10+6</f>
        <v>19</v>
      </c>
      <c r="D131" s="15">
        <f>6+97+0+39</f>
        <v>142</v>
      </c>
      <c r="E131" s="11">
        <f t="shared" si="9"/>
        <v>287</v>
      </c>
      <c r="F131" s="18">
        <v>627</v>
      </c>
      <c r="G131" s="15">
        <f t="shared" si="81"/>
        <v>340</v>
      </c>
      <c r="H131" s="49">
        <f t="shared" si="80"/>
        <v>3.2948929159802305E-2</v>
      </c>
      <c r="I131" s="57">
        <f t="shared" si="82"/>
        <v>-0.1681159420289855</v>
      </c>
      <c r="J131" s="30">
        <f t="shared" si="83"/>
        <v>-58</v>
      </c>
      <c r="K131" s="13">
        <f t="shared" ref="K131:K136" si="84">(F131-F79)/F79</f>
        <v>-0.14577656675749318</v>
      </c>
    </row>
    <row r="132" spans="1:13" s="15" customFormat="1" ht="14.25" x14ac:dyDescent="0.2">
      <c r="A132" s="21">
        <f t="shared" si="76"/>
        <v>39515</v>
      </c>
      <c r="B132" s="15">
        <f>0+168+0+63</f>
        <v>231</v>
      </c>
      <c r="C132" s="15">
        <f>1+1+6+8</f>
        <v>16</v>
      </c>
      <c r="D132" s="15">
        <f>2+62+0+43</f>
        <v>107</v>
      </c>
      <c r="E132" s="11">
        <f t="shared" si="9"/>
        <v>354</v>
      </c>
      <c r="F132" s="18">
        <v>713</v>
      </c>
      <c r="G132" s="15">
        <f t="shared" si="81"/>
        <v>359</v>
      </c>
      <c r="H132" s="49">
        <f t="shared" si="80"/>
        <v>0.13716108452950559</v>
      </c>
      <c r="I132" s="57">
        <f t="shared" si="82"/>
        <v>0.23344947735191637</v>
      </c>
      <c r="J132" s="30">
        <f t="shared" si="83"/>
        <v>67</v>
      </c>
      <c r="K132" s="13">
        <f t="shared" si="84"/>
        <v>9.6923076923076917E-2</v>
      </c>
    </row>
    <row r="133" spans="1:13" s="15" customFormat="1" ht="14.25" x14ac:dyDescent="0.2">
      <c r="A133" s="21">
        <f t="shared" si="76"/>
        <v>39522</v>
      </c>
      <c r="B133" s="15">
        <f>9+130+0+49</f>
        <v>188</v>
      </c>
      <c r="C133" s="15">
        <f>1+1+6+18</f>
        <v>26</v>
      </c>
      <c r="D133" s="15">
        <f>0+105+0+30</f>
        <v>135</v>
      </c>
      <c r="E133" s="11">
        <f t="shared" si="9"/>
        <v>349</v>
      </c>
      <c r="F133" s="18">
        <v>661</v>
      </c>
      <c r="G133" s="15">
        <f t="shared" si="81"/>
        <v>312</v>
      </c>
      <c r="H133" s="49">
        <f t="shared" si="80"/>
        <v>-7.2931276297335201E-2</v>
      </c>
      <c r="I133" s="57">
        <f t="shared" si="82"/>
        <v>-1.4124293785310734E-2</v>
      </c>
      <c r="J133" s="30">
        <f t="shared" si="83"/>
        <v>-5</v>
      </c>
      <c r="K133" s="13">
        <f t="shared" si="84"/>
        <v>0.15761821366024517</v>
      </c>
    </row>
    <row r="134" spans="1:13" s="15" customFormat="1" ht="14.25" x14ac:dyDescent="0.2">
      <c r="A134" s="21">
        <f t="shared" si="76"/>
        <v>39529</v>
      </c>
      <c r="B134" s="15">
        <f>6+156+8+33</f>
        <v>203</v>
      </c>
      <c r="C134" s="15">
        <f>4+0+5+10</f>
        <v>19</v>
      </c>
      <c r="D134" s="15">
        <f>1+66+0+13</f>
        <v>80</v>
      </c>
      <c r="E134" s="11">
        <f t="shared" si="9"/>
        <v>302</v>
      </c>
      <c r="F134" s="18">
        <v>600</v>
      </c>
      <c r="G134" s="15">
        <f t="shared" si="81"/>
        <v>298</v>
      </c>
      <c r="H134" s="49">
        <f t="shared" ref="H134:H139" si="85">(F134-F133)/F133</f>
        <v>-9.2284417549167927E-2</v>
      </c>
      <c r="I134" s="57">
        <f t="shared" si="82"/>
        <v>-0.1346704871060172</v>
      </c>
      <c r="J134" s="30">
        <f t="shared" si="83"/>
        <v>-47</v>
      </c>
      <c r="K134" s="13">
        <f t="shared" si="84"/>
        <v>0.10905730129390019</v>
      </c>
      <c r="M134" s="17" t="s">
        <v>33</v>
      </c>
    </row>
    <row r="135" spans="1:13" s="15" customFormat="1" ht="14.25" x14ac:dyDescent="0.2">
      <c r="A135" s="21">
        <f t="shared" si="76"/>
        <v>39536</v>
      </c>
      <c r="B135" s="15">
        <f>4+191+0+66</f>
        <v>261</v>
      </c>
      <c r="C135" s="15">
        <f>0+0+2+2</f>
        <v>4</v>
      </c>
      <c r="D135" s="15">
        <f>0+59+2+6</f>
        <v>67</v>
      </c>
      <c r="E135" s="11">
        <f t="shared" ref="E135:E190" si="86">SUM(B135:D135)</f>
        <v>332</v>
      </c>
      <c r="F135" s="18">
        <v>508</v>
      </c>
      <c r="G135" s="15">
        <f t="shared" ref="G135:G140" si="87">F135-E135</f>
        <v>176</v>
      </c>
      <c r="H135" s="49">
        <f t="shared" si="85"/>
        <v>-0.15333333333333332</v>
      </c>
      <c r="I135" s="57">
        <f t="shared" ref="I135:I140" si="88">(E135-E134)/E134</f>
        <v>9.9337748344370855E-2</v>
      </c>
      <c r="J135" s="30">
        <f t="shared" ref="J135:J140" si="89">E135-E134</f>
        <v>30</v>
      </c>
      <c r="K135" s="13">
        <f t="shared" si="84"/>
        <v>7.8556263269639062E-2</v>
      </c>
    </row>
    <row r="136" spans="1:13" s="15" customFormat="1" ht="14.25" x14ac:dyDescent="0.2">
      <c r="A136" s="21">
        <f t="shared" si="76"/>
        <v>39543</v>
      </c>
      <c r="B136" s="15">
        <f>22+235+1+83</f>
        <v>341</v>
      </c>
      <c r="C136" s="15">
        <f>0+0+0+7</f>
        <v>7</v>
      </c>
      <c r="D136" s="15">
        <f>3+92+8+19</f>
        <v>122</v>
      </c>
      <c r="E136" s="11">
        <f t="shared" si="86"/>
        <v>470</v>
      </c>
      <c r="F136" s="18">
        <v>498</v>
      </c>
      <c r="G136" s="15">
        <f t="shared" si="87"/>
        <v>28</v>
      </c>
      <c r="H136" s="49">
        <f t="shared" si="85"/>
        <v>-1.968503937007874E-2</v>
      </c>
      <c r="I136" s="57">
        <f t="shared" si="88"/>
        <v>0.41566265060240964</v>
      </c>
      <c r="J136" s="30">
        <f t="shared" si="89"/>
        <v>138</v>
      </c>
      <c r="K136" s="13">
        <f t="shared" si="84"/>
        <v>0.71134020618556704</v>
      </c>
    </row>
    <row r="137" spans="1:13" s="15" customFormat="1" ht="14.25" x14ac:dyDescent="0.2">
      <c r="A137" s="21">
        <f t="shared" si="76"/>
        <v>39550</v>
      </c>
      <c r="B137" s="15">
        <f>6+212+1+57</f>
        <v>276</v>
      </c>
      <c r="C137" s="15">
        <f>0+0+2+3</f>
        <v>5</v>
      </c>
      <c r="D137" s="15">
        <f>5+58+0+20</f>
        <v>83</v>
      </c>
      <c r="E137" s="11">
        <f t="shared" si="86"/>
        <v>364</v>
      </c>
      <c r="F137" s="18">
        <v>395</v>
      </c>
      <c r="G137" s="15">
        <f t="shared" si="87"/>
        <v>31</v>
      </c>
      <c r="H137" s="49">
        <f t="shared" si="85"/>
        <v>-0.20682730923694778</v>
      </c>
      <c r="I137" s="57">
        <f t="shared" si="88"/>
        <v>-0.22553191489361701</v>
      </c>
      <c r="J137" s="30">
        <f t="shared" si="89"/>
        <v>-106</v>
      </c>
      <c r="K137" s="13">
        <f t="shared" ref="K137:K142" si="90">(F137-F85)/F85</f>
        <v>-0.12803532008830021</v>
      </c>
    </row>
    <row r="138" spans="1:13" s="15" customFormat="1" ht="14.25" x14ac:dyDescent="0.2">
      <c r="A138" s="21">
        <f t="shared" si="76"/>
        <v>39557</v>
      </c>
      <c r="B138" s="15">
        <f>1+245+7+48</f>
        <v>301</v>
      </c>
      <c r="C138" s="15">
        <f>0</f>
        <v>0</v>
      </c>
      <c r="D138" s="15">
        <f>1+50+0+6</f>
        <v>57</v>
      </c>
      <c r="E138" s="11">
        <f t="shared" si="86"/>
        <v>358</v>
      </c>
      <c r="F138" s="18">
        <v>446</v>
      </c>
      <c r="G138" s="15">
        <f t="shared" si="87"/>
        <v>88</v>
      </c>
      <c r="H138" s="49">
        <f t="shared" si="85"/>
        <v>0.12911392405063291</v>
      </c>
      <c r="I138" s="57">
        <f t="shared" si="88"/>
        <v>-1.6483516483516484E-2</v>
      </c>
      <c r="J138" s="30">
        <f t="shared" si="89"/>
        <v>-6</v>
      </c>
      <c r="K138" s="13">
        <f t="shared" si="90"/>
        <v>-0.16322701688555347</v>
      </c>
    </row>
    <row r="139" spans="1:13" s="15" customFormat="1" ht="14.25" x14ac:dyDescent="0.2">
      <c r="A139" s="21">
        <f t="shared" si="76"/>
        <v>39564</v>
      </c>
      <c r="B139" s="15">
        <f>6+228+0+63</f>
        <v>297</v>
      </c>
      <c r="C139" s="15">
        <f>4+0+0+5</f>
        <v>9</v>
      </c>
      <c r="D139" s="15">
        <f>2+52+0+9</f>
        <v>63</v>
      </c>
      <c r="E139" s="11">
        <f t="shared" si="86"/>
        <v>369</v>
      </c>
      <c r="F139" s="18">
        <v>317</v>
      </c>
      <c r="G139" s="15">
        <f t="shared" si="87"/>
        <v>-52</v>
      </c>
      <c r="H139" s="49">
        <f t="shared" si="85"/>
        <v>-0.28923766816143498</v>
      </c>
      <c r="I139" s="57">
        <f t="shared" si="88"/>
        <v>3.0726256983240222E-2</v>
      </c>
      <c r="J139" s="30">
        <f t="shared" si="89"/>
        <v>11</v>
      </c>
      <c r="K139" s="13">
        <f t="shared" si="90"/>
        <v>-0.45438898450946646</v>
      </c>
    </row>
    <row r="140" spans="1:13" s="15" customFormat="1" ht="14.25" x14ac:dyDescent="0.2">
      <c r="A140" s="21">
        <f t="shared" si="76"/>
        <v>39571</v>
      </c>
      <c r="B140" s="15">
        <f>1+128+4+34</f>
        <v>167</v>
      </c>
      <c r="C140" s="15">
        <f>2+0+5+9</f>
        <v>16</v>
      </c>
      <c r="D140" s="15">
        <f>0+17+1+5</f>
        <v>23</v>
      </c>
      <c r="E140" s="11">
        <f t="shared" si="86"/>
        <v>206</v>
      </c>
      <c r="F140" s="18">
        <v>347</v>
      </c>
      <c r="G140" s="15">
        <f t="shared" si="87"/>
        <v>141</v>
      </c>
      <c r="H140" s="49">
        <f t="shared" ref="H140:H145" si="91">(F140-F139)/F139</f>
        <v>9.4637223974763401E-2</v>
      </c>
      <c r="I140" s="57">
        <f t="shared" si="88"/>
        <v>-0.44173441734417346</v>
      </c>
      <c r="J140" s="30">
        <f t="shared" si="89"/>
        <v>-163</v>
      </c>
      <c r="K140" s="13">
        <f t="shared" si="90"/>
        <v>-0.37924865831842575</v>
      </c>
    </row>
    <row r="141" spans="1:13" s="15" customFormat="1" ht="14.25" x14ac:dyDescent="0.2">
      <c r="A141" s="21">
        <f t="shared" si="76"/>
        <v>39578</v>
      </c>
      <c r="B141" s="15">
        <f>14+1+69+7</f>
        <v>91</v>
      </c>
      <c r="C141" s="15">
        <f>4+0+0+9</f>
        <v>13</v>
      </c>
      <c r="D141" s="15">
        <f>0+24+4+15</f>
        <v>43</v>
      </c>
      <c r="E141" s="11">
        <f t="shared" si="86"/>
        <v>147</v>
      </c>
      <c r="F141" s="18">
        <v>278</v>
      </c>
      <c r="G141" s="15">
        <f t="shared" ref="G141:G147" si="92">F141-E141</f>
        <v>131</v>
      </c>
      <c r="H141" s="49">
        <f t="shared" si="91"/>
        <v>-0.19884726224783861</v>
      </c>
      <c r="I141" s="57">
        <f t="shared" ref="I141:I147" si="93">(E141-E140)/E140</f>
        <v>-0.28640776699029125</v>
      </c>
      <c r="J141" s="30">
        <f t="shared" ref="J141:J147" si="94">E141-E140</f>
        <v>-59</v>
      </c>
      <c r="K141" s="13">
        <f t="shared" si="90"/>
        <v>-0.29974811083123426</v>
      </c>
    </row>
    <row r="142" spans="1:13" s="15" customFormat="1" ht="14.25" x14ac:dyDescent="0.2">
      <c r="A142" s="21">
        <f t="shared" si="76"/>
        <v>39585</v>
      </c>
      <c r="B142" s="15">
        <f>11+184+6+105</f>
        <v>306</v>
      </c>
      <c r="C142" s="15">
        <f>4+0+1+4</f>
        <v>9</v>
      </c>
      <c r="D142" s="15">
        <f>0+50+0+5</f>
        <v>55</v>
      </c>
      <c r="E142" s="11">
        <f t="shared" si="86"/>
        <v>370</v>
      </c>
      <c r="F142" s="18">
        <v>259</v>
      </c>
      <c r="G142" s="15">
        <f t="shared" si="92"/>
        <v>-111</v>
      </c>
      <c r="H142" s="49">
        <f t="shared" si="91"/>
        <v>-6.83453237410072E-2</v>
      </c>
      <c r="I142" s="57">
        <f t="shared" si="93"/>
        <v>1.5170068027210883</v>
      </c>
      <c r="J142" s="30">
        <f t="shared" si="94"/>
        <v>223</v>
      </c>
      <c r="K142" s="13">
        <f t="shared" si="90"/>
        <v>-0.32020997375328086</v>
      </c>
    </row>
    <row r="143" spans="1:13" s="15" customFormat="1" ht="14.25" x14ac:dyDescent="0.2">
      <c r="A143" s="21">
        <f t="shared" si="76"/>
        <v>39592</v>
      </c>
      <c r="B143" s="15">
        <f>0+255+3+100</f>
        <v>358</v>
      </c>
      <c r="C143" s="15">
        <f>13+0+8+21</f>
        <v>42</v>
      </c>
      <c r="D143" s="15">
        <f>0+20+0+2</f>
        <v>22</v>
      </c>
      <c r="E143" s="11">
        <f t="shared" si="86"/>
        <v>422</v>
      </c>
      <c r="F143" s="18">
        <v>436</v>
      </c>
      <c r="G143" s="15">
        <f t="shared" si="92"/>
        <v>14</v>
      </c>
      <c r="H143" s="49">
        <f t="shared" si="91"/>
        <v>0.68339768339768336</v>
      </c>
      <c r="I143" s="57">
        <f t="shared" si="93"/>
        <v>0.14054054054054055</v>
      </c>
      <c r="J143" s="30">
        <f t="shared" si="94"/>
        <v>52</v>
      </c>
      <c r="K143" s="13">
        <f t="shared" ref="K143:K148" si="95">(F143-F91)/F91</f>
        <v>-3.9647577092511016E-2</v>
      </c>
    </row>
    <row r="144" spans="1:13" s="15" customFormat="1" ht="14.25" x14ac:dyDescent="0.2">
      <c r="A144" s="21">
        <f t="shared" si="76"/>
        <v>39599</v>
      </c>
      <c r="B144" s="15">
        <f>5+230+1+108</f>
        <v>344</v>
      </c>
      <c r="C144" s="15">
        <f>3+0+1+10</f>
        <v>14</v>
      </c>
      <c r="D144" s="15">
        <f>0+6+0+5</f>
        <v>11</v>
      </c>
      <c r="E144" s="11">
        <f t="shared" si="86"/>
        <v>369</v>
      </c>
      <c r="F144" s="18">
        <v>400</v>
      </c>
      <c r="G144" s="15">
        <f t="shared" si="92"/>
        <v>31</v>
      </c>
      <c r="H144" s="49">
        <f t="shared" si="91"/>
        <v>-8.2568807339449546E-2</v>
      </c>
      <c r="I144" s="57">
        <f t="shared" si="93"/>
        <v>-0.12559241706161137</v>
      </c>
      <c r="J144" s="30">
        <f t="shared" si="94"/>
        <v>-53</v>
      </c>
      <c r="K144" s="13">
        <f t="shared" si="95"/>
        <v>-0.14163090128755365</v>
      </c>
    </row>
    <row r="145" spans="1:13" s="15" customFormat="1" ht="14.25" x14ac:dyDescent="0.2">
      <c r="A145" s="21">
        <f t="shared" si="76"/>
        <v>39606</v>
      </c>
      <c r="B145" s="15">
        <f>0+210+2+116</f>
        <v>328</v>
      </c>
      <c r="C145" s="15">
        <f>0+0+9+22</f>
        <v>31</v>
      </c>
      <c r="D145" s="15">
        <f>0+40+0+12</f>
        <v>52</v>
      </c>
      <c r="E145" s="11">
        <f t="shared" si="86"/>
        <v>411</v>
      </c>
      <c r="F145" s="18">
        <v>438</v>
      </c>
      <c r="G145" s="15">
        <f t="shared" si="92"/>
        <v>27</v>
      </c>
      <c r="H145" s="49">
        <f t="shared" si="91"/>
        <v>9.5000000000000001E-2</v>
      </c>
      <c r="I145" s="57">
        <f t="shared" si="93"/>
        <v>0.11382113821138211</v>
      </c>
      <c r="J145" s="30">
        <f t="shared" si="94"/>
        <v>42</v>
      </c>
      <c r="K145" s="13">
        <f t="shared" si="95"/>
        <v>-9.3167701863354033E-2</v>
      </c>
    </row>
    <row r="146" spans="1:13" s="15" customFormat="1" ht="14.25" x14ac:dyDescent="0.2">
      <c r="A146" s="21">
        <f t="shared" si="76"/>
        <v>39613</v>
      </c>
      <c r="B146" s="15">
        <f>1+201+3+49</f>
        <v>254</v>
      </c>
      <c r="C146" s="15">
        <f>18+0+6+23</f>
        <v>47</v>
      </c>
      <c r="D146" s="15">
        <f>0+16+1+4</f>
        <v>21</v>
      </c>
      <c r="E146" s="11">
        <f t="shared" si="86"/>
        <v>322</v>
      </c>
      <c r="F146" s="18">
        <v>503</v>
      </c>
      <c r="G146" s="15">
        <f t="shared" si="92"/>
        <v>181</v>
      </c>
      <c r="H146" s="49">
        <f t="shared" ref="H146:H151" si="96">(F146-F145)/F145</f>
        <v>0.14840182648401826</v>
      </c>
      <c r="I146" s="57">
        <f t="shared" si="93"/>
        <v>-0.21654501216545013</v>
      </c>
      <c r="J146" s="30">
        <f t="shared" si="94"/>
        <v>-89</v>
      </c>
      <c r="K146" s="13">
        <f t="shared" si="95"/>
        <v>-7.5367647058823525E-2</v>
      </c>
    </row>
    <row r="147" spans="1:13" s="15" customFormat="1" ht="14.25" x14ac:dyDescent="0.2">
      <c r="A147" s="21">
        <f t="shared" si="76"/>
        <v>39620</v>
      </c>
      <c r="B147" s="15">
        <f>134+9</f>
        <v>143</v>
      </c>
      <c r="C147" s="15">
        <f>13+1+1</f>
        <v>15</v>
      </c>
      <c r="D147" s="15">
        <f>21+24+7</f>
        <v>52</v>
      </c>
      <c r="E147" s="11">
        <f t="shared" si="86"/>
        <v>210</v>
      </c>
      <c r="F147" s="12">
        <v>548</v>
      </c>
      <c r="G147" s="15">
        <f t="shared" si="92"/>
        <v>338</v>
      </c>
      <c r="H147" s="49">
        <f t="shared" si="96"/>
        <v>8.9463220675944338E-2</v>
      </c>
      <c r="I147" s="57">
        <f t="shared" si="93"/>
        <v>-0.34782608695652173</v>
      </c>
      <c r="J147" s="30">
        <f t="shared" si="94"/>
        <v>-112</v>
      </c>
      <c r="K147" s="13">
        <f t="shared" si="95"/>
        <v>0.11836734693877551</v>
      </c>
    </row>
    <row r="148" spans="1:13" s="15" customFormat="1" ht="14.25" x14ac:dyDescent="0.2">
      <c r="A148" s="21">
        <f t="shared" si="76"/>
        <v>39627</v>
      </c>
      <c r="B148" s="15">
        <f>0+64+0+6</f>
        <v>70</v>
      </c>
      <c r="C148" s="15">
        <f>13+0+2+5</f>
        <v>20</v>
      </c>
      <c r="D148" s="15">
        <f>15+7+2+5</f>
        <v>29</v>
      </c>
      <c r="E148" s="11">
        <f t="shared" si="86"/>
        <v>119</v>
      </c>
      <c r="F148" s="12">
        <v>472</v>
      </c>
      <c r="G148" s="15">
        <f t="shared" ref="G148:G153" si="97">F148-E148</f>
        <v>353</v>
      </c>
      <c r="H148" s="49">
        <f t="shared" si="96"/>
        <v>-0.13868613138686131</v>
      </c>
      <c r="I148" s="57">
        <f t="shared" ref="I148:I153" si="98">(E148-E147)/E147</f>
        <v>-0.43333333333333335</v>
      </c>
      <c r="J148" s="30">
        <f t="shared" ref="J148:J153" si="99">E148-E147</f>
        <v>-91</v>
      </c>
      <c r="K148" s="13">
        <f t="shared" si="95"/>
        <v>6.3965884861407248E-3</v>
      </c>
    </row>
    <row r="149" spans="1:13" s="15" customFormat="1" ht="14.25" x14ac:dyDescent="0.2">
      <c r="A149" s="21">
        <f t="shared" si="76"/>
        <v>39634</v>
      </c>
      <c r="B149" s="15">
        <f>1+61+0+8</f>
        <v>70</v>
      </c>
      <c r="C149" s="15">
        <f>14+2+0+5</f>
        <v>21</v>
      </c>
      <c r="D149" s="15">
        <f>23+57+3+14</f>
        <v>97</v>
      </c>
      <c r="E149" s="11">
        <f t="shared" si="86"/>
        <v>188</v>
      </c>
      <c r="F149" s="12">
        <v>379</v>
      </c>
      <c r="G149" s="15">
        <f t="shared" si="97"/>
        <v>191</v>
      </c>
      <c r="H149" s="49">
        <f t="shared" si="96"/>
        <v>-0.19703389830508475</v>
      </c>
      <c r="I149" s="57">
        <f t="shared" si="98"/>
        <v>0.57983193277310929</v>
      </c>
      <c r="J149" s="30">
        <f t="shared" si="99"/>
        <v>69</v>
      </c>
      <c r="K149" s="13">
        <f t="shared" ref="K149:K154" si="100">(F149-F97)/F97</f>
        <v>7.6704545454545456E-2</v>
      </c>
    </row>
    <row r="150" spans="1:13" s="15" customFormat="1" ht="14.25" x14ac:dyDescent="0.2">
      <c r="A150" s="21">
        <f t="shared" si="76"/>
        <v>39641</v>
      </c>
      <c r="B150" s="15">
        <f>1+312+1+72</f>
        <v>386</v>
      </c>
      <c r="C150" s="15">
        <f>14+3+0+7</f>
        <v>24</v>
      </c>
      <c r="D150" s="15">
        <f>27+22+0+4</f>
        <v>53</v>
      </c>
      <c r="E150" s="11">
        <f t="shared" si="86"/>
        <v>463</v>
      </c>
      <c r="F150" s="12">
        <v>362</v>
      </c>
      <c r="G150" s="15">
        <f t="shared" si="97"/>
        <v>-101</v>
      </c>
      <c r="H150" s="49">
        <f t="shared" si="96"/>
        <v>-4.4854881266490766E-2</v>
      </c>
      <c r="I150" s="57">
        <f t="shared" si="98"/>
        <v>1.4627659574468086</v>
      </c>
      <c r="J150" s="30">
        <f t="shared" si="99"/>
        <v>275</v>
      </c>
      <c r="K150" s="13">
        <f t="shared" si="100"/>
        <v>-0.39966832504145938</v>
      </c>
    </row>
    <row r="151" spans="1:13" s="15" customFormat="1" ht="14.25" x14ac:dyDescent="0.2">
      <c r="A151" s="21">
        <f t="shared" si="76"/>
        <v>39648</v>
      </c>
      <c r="B151" s="15">
        <f>1+283+0+87</f>
        <v>371</v>
      </c>
      <c r="C151" s="15">
        <f>17+0+1+8</f>
        <v>26</v>
      </c>
      <c r="D151" s="15">
        <f>15+20+0+6</f>
        <v>41</v>
      </c>
      <c r="E151" s="11">
        <f t="shared" si="86"/>
        <v>438</v>
      </c>
      <c r="F151" s="12">
        <v>358</v>
      </c>
      <c r="G151" s="15">
        <f t="shared" si="97"/>
        <v>-80</v>
      </c>
      <c r="H151" s="49">
        <f t="shared" si="96"/>
        <v>-1.1049723756906077E-2</v>
      </c>
      <c r="I151" s="57">
        <f t="shared" si="98"/>
        <v>-5.3995680345572353E-2</v>
      </c>
      <c r="J151" s="30">
        <f t="shared" si="99"/>
        <v>-25</v>
      </c>
      <c r="K151" s="13">
        <f t="shared" si="100"/>
        <v>-0.28685258964143429</v>
      </c>
    </row>
    <row r="152" spans="1:13" s="15" customFormat="1" ht="14.25" x14ac:dyDescent="0.2">
      <c r="A152" s="21">
        <f t="shared" si="76"/>
        <v>39655</v>
      </c>
      <c r="B152" s="15">
        <f>1+379+0+73</f>
        <v>453</v>
      </c>
      <c r="C152" s="15">
        <f>42+1+0+6</f>
        <v>49</v>
      </c>
      <c r="D152" s="15">
        <f>16+11+0+10</f>
        <v>37</v>
      </c>
      <c r="E152" s="11">
        <f t="shared" si="86"/>
        <v>539</v>
      </c>
      <c r="F152" s="12">
        <v>389</v>
      </c>
      <c r="G152" s="15">
        <f t="shared" si="97"/>
        <v>-150</v>
      </c>
      <c r="H152" s="49">
        <f t="shared" ref="H152:H157" si="101">(F152-F151)/F151</f>
        <v>8.6592178770949726E-2</v>
      </c>
      <c r="I152" s="57">
        <f t="shared" si="98"/>
        <v>0.23059360730593606</v>
      </c>
      <c r="J152" s="30">
        <f t="shared" si="99"/>
        <v>101</v>
      </c>
      <c r="K152" s="13">
        <f t="shared" si="100"/>
        <v>-0.26879699248120303</v>
      </c>
    </row>
    <row r="153" spans="1:13" s="15" customFormat="1" ht="14.25" x14ac:dyDescent="0.2">
      <c r="A153" s="21">
        <f t="shared" ref="A153:A212" si="102">7+A152</f>
        <v>39662</v>
      </c>
      <c r="B153" s="15">
        <f>5+332+1+92</f>
        <v>430</v>
      </c>
      <c r="C153" s="15">
        <f>29+0+6+1</f>
        <v>36</v>
      </c>
      <c r="D153" s="15">
        <f>2+1+0+2</f>
        <v>5</v>
      </c>
      <c r="E153" s="11">
        <f t="shared" si="86"/>
        <v>471</v>
      </c>
      <c r="F153" s="12">
        <v>457</v>
      </c>
      <c r="G153" s="15">
        <f t="shared" si="97"/>
        <v>-14</v>
      </c>
      <c r="H153" s="49">
        <f t="shared" si="101"/>
        <v>0.17480719794344474</v>
      </c>
      <c r="I153" s="57">
        <f t="shared" si="98"/>
        <v>-0.12615955473098331</v>
      </c>
      <c r="J153" s="30">
        <f t="shared" si="99"/>
        <v>-68</v>
      </c>
      <c r="K153" s="13">
        <f t="shared" si="100"/>
        <v>-0.12952380952380951</v>
      </c>
    </row>
    <row r="154" spans="1:13" s="15" customFormat="1" ht="14.25" x14ac:dyDescent="0.2">
      <c r="A154" s="21">
        <f t="shared" si="102"/>
        <v>39669</v>
      </c>
      <c r="B154" s="15">
        <f>4+259+1+55</f>
        <v>319</v>
      </c>
      <c r="C154" s="15">
        <f>39+2+3+3</f>
        <v>47</v>
      </c>
      <c r="D154" s="15">
        <f>21+18+0+12</f>
        <v>51</v>
      </c>
      <c r="E154" s="11">
        <f t="shared" si="86"/>
        <v>417</v>
      </c>
      <c r="F154" s="12">
        <v>648</v>
      </c>
      <c r="G154" s="15">
        <f t="shared" ref="G154:G159" si="103">F154-E154</f>
        <v>231</v>
      </c>
      <c r="H154" s="49">
        <f t="shared" si="101"/>
        <v>0.41794310722100658</v>
      </c>
      <c r="I154" s="57">
        <f t="shared" ref="I154:I159" si="104">(E154-E153)/E153</f>
        <v>-0.11464968152866242</v>
      </c>
      <c r="J154" s="30">
        <f t="shared" ref="J154:J159" si="105">E154-E153</f>
        <v>-54</v>
      </c>
      <c r="K154" s="13">
        <f t="shared" si="100"/>
        <v>3.8461538461538464E-2</v>
      </c>
    </row>
    <row r="155" spans="1:13" s="15" customFormat="1" ht="14.25" x14ac:dyDescent="0.2">
      <c r="A155" s="21">
        <f t="shared" si="102"/>
        <v>39676</v>
      </c>
      <c r="B155" s="15">
        <f>2+255+5+47</f>
        <v>309</v>
      </c>
      <c r="C155" s="15">
        <f>15+0+0+2</f>
        <v>17</v>
      </c>
      <c r="D155" s="15">
        <f>8+23+0+0</f>
        <v>31</v>
      </c>
      <c r="E155" s="11">
        <f t="shared" si="86"/>
        <v>357</v>
      </c>
      <c r="F155" s="12">
        <v>568</v>
      </c>
      <c r="G155" s="15">
        <f t="shared" si="103"/>
        <v>211</v>
      </c>
      <c r="H155" s="49">
        <f t="shared" si="101"/>
        <v>-0.12345679012345678</v>
      </c>
      <c r="I155" s="57">
        <f t="shared" si="104"/>
        <v>-0.14388489208633093</v>
      </c>
      <c r="J155" s="30">
        <f t="shared" si="105"/>
        <v>-60</v>
      </c>
      <c r="K155" s="13">
        <f t="shared" ref="K155:K160" si="106">(F155-F103)/F103</f>
        <v>-3.5653650254668934E-2</v>
      </c>
    </row>
    <row r="156" spans="1:13" s="15" customFormat="1" ht="14.25" x14ac:dyDescent="0.2">
      <c r="A156" s="21">
        <f t="shared" si="102"/>
        <v>39683</v>
      </c>
      <c r="B156" s="15">
        <f>10+280+0+69</f>
        <v>359</v>
      </c>
      <c r="C156" s="15">
        <f>22+1+1+0</f>
        <v>24</v>
      </c>
      <c r="D156" s="15">
        <f>13+16+0+2</f>
        <v>31</v>
      </c>
      <c r="E156" s="11">
        <f t="shared" si="86"/>
        <v>414</v>
      </c>
      <c r="F156" s="12">
        <v>525</v>
      </c>
      <c r="G156" s="15">
        <f t="shared" si="103"/>
        <v>111</v>
      </c>
      <c r="H156" s="49">
        <f t="shared" si="101"/>
        <v>-7.5704225352112672E-2</v>
      </c>
      <c r="I156" s="57">
        <f t="shared" si="104"/>
        <v>0.15966386554621848</v>
      </c>
      <c r="J156" s="30">
        <f t="shared" si="105"/>
        <v>57</v>
      </c>
      <c r="K156" s="13">
        <f t="shared" si="106"/>
        <v>-0.12790697674418605</v>
      </c>
    </row>
    <row r="157" spans="1:13" s="15" customFormat="1" ht="14.25" x14ac:dyDescent="0.2">
      <c r="A157" s="21">
        <f t="shared" si="102"/>
        <v>39690</v>
      </c>
      <c r="B157" s="15">
        <f>12+165+12+19</f>
        <v>208</v>
      </c>
      <c r="C157" s="15">
        <f>36+0+3+5</f>
        <v>44</v>
      </c>
      <c r="D157" s="15">
        <f>5+20+6+1</f>
        <v>32</v>
      </c>
      <c r="E157" s="11">
        <f t="shared" si="86"/>
        <v>284</v>
      </c>
      <c r="F157" s="12">
        <v>355</v>
      </c>
      <c r="G157" s="15">
        <f t="shared" si="103"/>
        <v>71</v>
      </c>
      <c r="H157" s="49">
        <f t="shared" si="101"/>
        <v>-0.32380952380952382</v>
      </c>
      <c r="I157" s="57">
        <f t="shared" si="104"/>
        <v>-0.3140096618357488</v>
      </c>
      <c r="J157" s="30">
        <f t="shared" si="105"/>
        <v>-130</v>
      </c>
      <c r="K157" s="13">
        <f t="shared" si="106"/>
        <v>-0.4580152671755725</v>
      </c>
    </row>
    <row r="158" spans="1:13" s="15" customFormat="1" ht="14.25" x14ac:dyDescent="0.2">
      <c r="A158" s="21">
        <f t="shared" si="102"/>
        <v>39697</v>
      </c>
      <c r="B158" s="15">
        <f>25+277+0+47</f>
        <v>349</v>
      </c>
      <c r="C158" s="15">
        <f>6+0+2+1</f>
        <v>9</v>
      </c>
      <c r="D158" s="15">
        <f>13+18+0+4</f>
        <v>35</v>
      </c>
      <c r="E158" s="11">
        <f t="shared" si="86"/>
        <v>393</v>
      </c>
      <c r="F158" s="12">
        <v>42</v>
      </c>
      <c r="G158" s="15">
        <f t="shared" si="103"/>
        <v>-351</v>
      </c>
      <c r="H158" s="49">
        <f t="shared" ref="H158:H163" si="107">(F158-F157)/F157</f>
        <v>-0.88169014084507047</v>
      </c>
      <c r="I158" s="57">
        <f t="shared" si="104"/>
        <v>0.38380281690140844</v>
      </c>
      <c r="J158" s="30">
        <f t="shared" si="105"/>
        <v>109</v>
      </c>
      <c r="K158" s="13">
        <f t="shared" si="106"/>
        <v>-0.9375</v>
      </c>
      <c r="M158" s="17" t="s">
        <v>34</v>
      </c>
    </row>
    <row r="159" spans="1:13" s="15" customFormat="1" ht="14.25" x14ac:dyDescent="0.2">
      <c r="A159" s="21">
        <f t="shared" si="102"/>
        <v>39704</v>
      </c>
      <c r="B159" s="15">
        <f>20+231+4+22</f>
        <v>277</v>
      </c>
      <c r="C159" s="15">
        <f>10+2+2+0</f>
        <v>14</v>
      </c>
      <c r="D159" s="15">
        <f>16+19+0+9</f>
        <v>44</v>
      </c>
      <c r="E159" s="11">
        <f t="shared" si="86"/>
        <v>335</v>
      </c>
      <c r="F159" s="12">
        <v>479</v>
      </c>
      <c r="G159" s="15">
        <f t="shared" si="103"/>
        <v>144</v>
      </c>
      <c r="H159" s="49">
        <f t="shared" si="107"/>
        <v>10.404761904761905</v>
      </c>
      <c r="I159" s="57">
        <f t="shared" si="104"/>
        <v>-0.1475826972010178</v>
      </c>
      <c r="J159" s="30">
        <f t="shared" si="105"/>
        <v>-58</v>
      </c>
      <c r="K159" s="13">
        <f t="shared" si="106"/>
        <v>-0.32724719101123595</v>
      </c>
      <c r="M159" s="17" t="s">
        <v>35</v>
      </c>
    </row>
    <row r="160" spans="1:13" s="15" customFormat="1" ht="14.25" x14ac:dyDescent="0.2">
      <c r="A160" s="21">
        <f t="shared" si="102"/>
        <v>39711</v>
      </c>
      <c r="B160" s="15">
        <f>13+175+0+14</f>
        <v>202</v>
      </c>
      <c r="C160" s="15">
        <f>18+0+0+0</f>
        <v>18</v>
      </c>
      <c r="D160" s="15">
        <f>20+34+0+2</f>
        <v>56</v>
      </c>
      <c r="E160" s="11">
        <f t="shared" si="86"/>
        <v>276</v>
      </c>
      <c r="F160" s="12">
        <v>596</v>
      </c>
      <c r="G160" s="15">
        <f t="shared" ref="G160:G165" si="108">F160-E160</f>
        <v>320</v>
      </c>
      <c r="H160" s="49">
        <f t="shared" si="107"/>
        <v>0.24425887265135698</v>
      </c>
      <c r="I160" s="57">
        <f t="shared" ref="I160:I165" si="109">(E160-E159)/E159</f>
        <v>-0.17611940298507461</v>
      </c>
      <c r="J160" s="30">
        <f t="shared" ref="J160:J165" si="110">E160-E159</f>
        <v>-59</v>
      </c>
      <c r="K160" s="13">
        <f t="shared" si="106"/>
        <v>-0.17222222222222222</v>
      </c>
    </row>
    <row r="161" spans="1:12" s="15" customFormat="1" ht="14.25" x14ac:dyDescent="0.2">
      <c r="A161" s="21">
        <f t="shared" si="102"/>
        <v>39718</v>
      </c>
      <c r="B161" s="15">
        <f>7+91+1+14</f>
        <v>113</v>
      </c>
      <c r="C161" s="15">
        <f>19+7+2+0</f>
        <v>28</v>
      </c>
      <c r="D161" s="15">
        <f>3+53+0+4</f>
        <v>60</v>
      </c>
      <c r="E161" s="11">
        <f t="shared" si="86"/>
        <v>201</v>
      </c>
      <c r="F161" s="12">
        <v>573</v>
      </c>
      <c r="G161" s="15">
        <f t="shared" si="108"/>
        <v>372</v>
      </c>
      <c r="H161" s="49">
        <f t="shared" si="107"/>
        <v>-3.8590604026845637E-2</v>
      </c>
      <c r="I161" s="57">
        <f t="shared" si="109"/>
        <v>-0.27173913043478259</v>
      </c>
      <c r="J161" s="30">
        <f t="shared" si="110"/>
        <v>-75</v>
      </c>
      <c r="K161" s="13">
        <f t="shared" ref="K161:K166" si="111">(F161-F109)/F109</f>
        <v>-0.11846153846153847</v>
      </c>
    </row>
    <row r="162" spans="1:12" s="15" customFormat="1" ht="14.25" x14ac:dyDescent="0.2">
      <c r="A162" s="21">
        <f t="shared" si="102"/>
        <v>39725</v>
      </c>
      <c r="B162" s="15">
        <f>5+136+3+42</f>
        <v>186</v>
      </c>
      <c r="C162" s="15">
        <f>21+19+3+3</f>
        <v>46</v>
      </c>
      <c r="D162" s="15">
        <f>3+80+1+12</f>
        <v>96</v>
      </c>
      <c r="E162" s="11">
        <f t="shared" si="86"/>
        <v>328</v>
      </c>
      <c r="F162" s="12">
        <v>529</v>
      </c>
      <c r="G162" s="15">
        <f t="shared" si="108"/>
        <v>201</v>
      </c>
      <c r="H162" s="49">
        <f t="shared" si="107"/>
        <v>-7.6788830715532289E-2</v>
      </c>
      <c r="I162" s="57">
        <f t="shared" si="109"/>
        <v>0.63184079601990051</v>
      </c>
      <c r="J162" s="30">
        <f t="shared" si="110"/>
        <v>127</v>
      </c>
      <c r="K162" s="13">
        <f t="shared" si="111"/>
        <v>-0.19726858877086495</v>
      </c>
    </row>
    <row r="163" spans="1:12" s="15" customFormat="1" ht="14.25" x14ac:dyDescent="0.2">
      <c r="A163" s="21">
        <f t="shared" si="102"/>
        <v>39732</v>
      </c>
      <c r="B163" s="15">
        <f>2+58+1+60</f>
        <v>121</v>
      </c>
      <c r="C163" s="15">
        <f>6+4+2+3</f>
        <v>15</v>
      </c>
      <c r="D163" s="15">
        <f>11+72+0+20</f>
        <v>103</v>
      </c>
      <c r="E163" s="11">
        <f t="shared" si="86"/>
        <v>239</v>
      </c>
      <c r="F163" s="12">
        <v>551</v>
      </c>
      <c r="G163" s="15">
        <f t="shared" si="108"/>
        <v>312</v>
      </c>
      <c r="H163" s="49">
        <f t="shared" si="107"/>
        <v>4.1587901701323253E-2</v>
      </c>
      <c r="I163" s="57">
        <f t="shared" si="109"/>
        <v>-0.27134146341463417</v>
      </c>
      <c r="J163" s="30">
        <f t="shared" si="110"/>
        <v>-89</v>
      </c>
      <c r="K163" s="13">
        <f t="shared" si="111"/>
        <v>-0.21621621621621623</v>
      </c>
    </row>
    <row r="164" spans="1:12" s="15" customFormat="1" ht="14.25" x14ac:dyDescent="0.2">
      <c r="A164" s="21">
        <f t="shared" si="102"/>
        <v>39739</v>
      </c>
      <c r="B164" s="15">
        <f>4+76+2+114</f>
        <v>196</v>
      </c>
      <c r="C164" s="15">
        <f>19+6+3+6</f>
        <v>34</v>
      </c>
      <c r="D164" s="15">
        <f>3+51+1+26</f>
        <v>81</v>
      </c>
      <c r="E164" s="11">
        <f t="shared" si="86"/>
        <v>311</v>
      </c>
      <c r="F164" s="12">
        <v>577</v>
      </c>
      <c r="G164" s="15">
        <f t="shared" si="108"/>
        <v>266</v>
      </c>
      <c r="H164" s="49">
        <f t="shared" ref="H164:H169" si="112">(F164-F163)/F163</f>
        <v>4.7186932849364795E-2</v>
      </c>
      <c r="I164" s="57">
        <f t="shared" si="109"/>
        <v>0.30125523012552302</v>
      </c>
      <c r="J164" s="30">
        <f t="shared" si="110"/>
        <v>72</v>
      </c>
      <c r="K164" s="13">
        <f t="shared" si="111"/>
        <v>-9.8437499999999997E-2</v>
      </c>
    </row>
    <row r="165" spans="1:12" s="15" customFormat="1" ht="14.25" x14ac:dyDescent="0.2">
      <c r="A165" s="21">
        <f t="shared" si="102"/>
        <v>39746</v>
      </c>
      <c r="B165" s="15">
        <f>5+133+2+108</f>
        <v>248</v>
      </c>
      <c r="C165" s="15">
        <f>10+1+1+11</f>
        <v>23</v>
      </c>
      <c r="D165" s="15">
        <f>2+36+0+60</f>
        <v>98</v>
      </c>
      <c r="E165" s="11">
        <f t="shared" si="86"/>
        <v>369</v>
      </c>
      <c r="F165" s="12">
        <v>544</v>
      </c>
      <c r="G165" s="15">
        <f t="shared" si="108"/>
        <v>175</v>
      </c>
      <c r="H165" s="49">
        <f t="shared" si="112"/>
        <v>-5.7192374350086658E-2</v>
      </c>
      <c r="I165" s="57">
        <f t="shared" si="109"/>
        <v>0.18649517684887459</v>
      </c>
      <c r="J165" s="30">
        <f t="shared" si="110"/>
        <v>58</v>
      </c>
      <c r="K165" s="13">
        <f t="shared" si="111"/>
        <v>-9.4841930116472545E-2</v>
      </c>
    </row>
    <row r="166" spans="1:12" s="15" customFormat="1" ht="14.25" x14ac:dyDescent="0.2">
      <c r="A166" s="21">
        <f t="shared" si="102"/>
        <v>39753</v>
      </c>
      <c r="B166" s="15">
        <f>2+106+8+114</f>
        <v>230</v>
      </c>
      <c r="C166" s="15">
        <f>8+0+0+22</f>
        <v>30</v>
      </c>
      <c r="D166" s="15">
        <f>2+27+0+38</f>
        <v>67</v>
      </c>
      <c r="E166" s="11">
        <f t="shared" si="86"/>
        <v>327</v>
      </c>
      <c r="F166" s="12">
        <v>521</v>
      </c>
      <c r="G166" s="15">
        <f t="shared" ref="G166:G171" si="113">F166-E166</f>
        <v>194</v>
      </c>
      <c r="H166" s="49">
        <f t="shared" si="112"/>
        <v>-4.2279411764705885E-2</v>
      </c>
      <c r="I166" s="57">
        <f t="shared" ref="I166:I171" si="114">(E166-E165)/E165</f>
        <v>-0.11382113821138211</v>
      </c>
      <c r="J166" s="30">
        <f t="shared" ref="J166:J171" si="115">E166-E165</f>
        <v>-42</v>
      </c>
      <c r="K166" s="13">
        <f t="shared" si="111"/>
        <v>-0.32774193548387098</v>
      </c>
    </row>
    <row r="167" spans="1:12" s="15" customFormat="1" ht="14.25" x14ac:dyDescent="0.2">
      <c r="A167" s="21">
        <f t="shared" si="102"/>
        <v>39760</v>
      </c>
      <c r="B167" s="15">
        <f>12+230+0+100</f>
        <v>342</v>
      </c>
      <c r="C167" s="15">
        <f>5+0+2+28</f>
        <v>35</v>
      </c>
      <c r="D167" s="15">
        <f>0+24+0+67</f>
        <v>91</v>
      </c>
      <c r="E167" s="11">
        <f t="shared" si="86"/>
        <v>468</v>
      </c>
      <c r="F167" s="12">
        <v>583</v>
      </c>
      <c r="G167" s="15">
        <f t="shared" si="113"/>
        <v>115</v>
      </c>
      <c r="H167" s="49">
        <f t="shared" si="112"/>
        <v>0.11900191938579655</v>
      </c>
      <c r="I167" s="57">
        <f t="shared" si="114"/>
        <v>0.43119266055045874</v>
      </c>
      <c r="J167" s="30">
        <f t="shared" si="115"/>
        <v>141</v>
      </c>
      <c r="K167" s="13">
        <f t="shared" ref="K167:K172" si="116">(F167-F115)/F115</f>
        <v>-0.26202531645569621</v>
      </c>
    </row>
    <row r="168" spans="1:12" s="15" customFormat="1" ht="14.25" x14ac:dyDescent="0.2">
      <c r="A168" s="21">
        <f t="shared" si="102"/>
        <v>39767</v>
      </c>
      <c r="B168" s="15">
        <f>3+247+2+43</f>
        <v>295</v>
      </c>
      <c r="C168" s="15">
        <f>1+0+3+37</f>
        <v>41</v>
      </c>
      <c r="D168" s="15">
        <f>0+12+0+23</f>
        <v>35</v>
      </c>
      <c r="E168" s="11">
        <f t="shared" si="86"/>
        <v>371</v>
      </c>
      <c r="F168" s="12">
        <v>688</v>
      </c>
      <c r="G168" s="15">
        <f t="shared" si="113"/>
        <v>317</v>
      </c>
      <c r="H168" s="49">
        <f t="shared" si="112"/>
        <v>0.18010291595197256</v>
      </c>
      <c r="I168" s="57">
        <f t="shared" si="114"/>
        <v>-0.20726495726495728</v>
      </c>
      <c r="J168" s="30">
        <f t="shared" si="115"/>
        <v>-97</v>
      </c>
      <c r="K168" s="13">
        <f t="shared" si="116"/>
        <v>-0.10765239948119326</v>
      </c>
    </row>
    <row r="169" spans="1:12" s="15" customFormat="1" ht="14.25" x14ac:dyDescent="0.2">
      <c r="A169" s="21">
        <f t="shared" si="102"/>
        <v>39774</v>
      </c>
      <c r="B169" s="15">
        <f>1+287+4+38</f>
        <v>330</v>
      </c>
      <c r="C169" s="15">
        <f>0+0+0+11</f>
        <v>11</v>
      </c>
      <c r="D169" s="15">
        <f>1+26+0+42</f>
        <v>69</v>
      </c>
      <c r="E169" s="11">
        <f t="shared" si="86"/>
        <v>410</v>
      </c>
      <c r="F169" s="12">
        <v>551</v>
      </c>
      <c r="G169" s="15">
        <f t="shared" si="113"/>
        <v>141</v>
      </c>
      <c r="H169" s="49">
        <f t="shared" si="112"/>
        <v>-0.19912790697674418</v>
      </c>
      <c r="I169" s="57">
        <f t="shared" si="114"/>
        <v>0.10512129380053908</v>
      </c>
      <c r="J169" s="30">
        <f t="shared" si="115"/>
        <v>39</v>
      </c>
      <c r="K169" s="13">
        <f t="shared" si="116"/>
        <v>-0.30604534005037781</v>
      </c>
    </row>
    <row r="170" spans="1:12" s="15" customFormat="1" ht="14.25" x14ac:dyDescent="0.2">
      <c r="A170" s="21">
        <f t="shared" si="102"/>
        <v>39781</v>
      </c>
      <c r="B170" s="15">
        <f>1+347+0+58</f>
        <v>406</v>
      </c>
      <c r="C170" s="15">
        <f>0+0+0+11</f>
        <v>11</v>
      </c>
      <c r="D170" s="15">
        <f>0+14+1+36</f>
        <v>51</v>
      </c>
      <c r="E170" s="11">
        <f t="shared" si="86"/>
        <v>468</v>
      </c>
      <c r="F170" s="12">
        <v>648</v>
      </c>
      <c r="G170" s="15">
        <f t="shared" si="113"/>
        <v>180</v>
      </c>
      <c r="H170" s="49">
        <f t="shared" ref="H170:H175" si="117">(F170-F169)/F169</f>
        <v>0.17604355716878403</v>
      </c>
      <c r="I170" s="57">
        <f t="shared" si="114"/>
        <v>0.14146341463414633</v>
      </c>
      <c r="J170" s="30">
        <f t="shared" si="115"/>
        <v>58</v>
      </c>
      <c r="K170" s="13">
        <f t="shared" si="116"/>
        <v>-0.11836734693877551</v>
      </c>
    </row>
    <row r="171" spans="1:12" s="15" customFormat="1" ht="14.25" x14ac:dyDescent="0.2">
      <c r="A171" s="21">
        <f t="shared" si="102"/>
        <v>39788</v>
      </c>
      <c r="B171" s="15">
        <f>12+271+0+102</f>
        <v>385</v>
      </c>
      <c r="C171" s="15">
        <f>2+0+1+27</f>
        <v>30</v>
      </c>
      <c r="D171" s="15">
        <f>5+29+2+24</f>
        <v>60</v>
      </c>
      <c r="E171" s="11">
        <f t="shared" si="86"/>
        <v>475</v>
      </c>
      <c r="F171" s="12">
        <v>712</v>
      </c>
      <c r="G171" s="15">
        <f t="shared" si="113"/>
        <v>237</v>
      </c>
      <c r="H171" s="49">
        <f t="shared" si="117"/>
        <v>9.8765432098765427E-2</v>
      </c>
      <c r="I171" s="57">
        <f t="shared" si="114"/>
        <v>1.4957264957264958E-2</v>
      </c>
      <c r="J171" s="30">
        <f t="shared" si="115"/>
        <v>7</v>
      </c>
      <c r="K171" s="13">
        <f t="shared" si="116"/>
        <v>-8.4832904884318772E-2</v>
      </c>
    </row>
    <row r="172" spans="1:12" s="15" customFormat="1" ht="14.25" x14ac:dyDescent="0.2">
      <c r="A172" s="21">
        <f t="shared" si="102"/>
        <v>39795</v>
      </c>
      <c r="B172" s="15">
        <f>2+233+0+74</f>
        <v>309</v>
      </c>
      <c r="C172" s="15">
        <f>1+0+3+26</f>
        <v>30</v>
      </c>
      <c r="D172" s="15">
        <f>5+26+1+32</f>
        <v>64</v>
      </c>
      <c r="E172" s="11">
        <f t="shared" si="86"/>
        <v>403</v>
      </c>
      <c r="F172" s="12">
        <v>653</v>
      </c>
      <c r="G172" s="15">
        <f t="shared" ref="G172:G177" si="118">F172-E172</f>
        <v>250</v>
      </c>
      <c r="H172" s="49">
        <f t="shared" si="117"/>
        <v>-8.2865168539325837E-2</v>
      </c>
      <c r="I172" s="57">
        <f t="shared" ref="I172:I177" si="119">(E172-E171)/E171</f>
        <v>-0.15157894736842106</v>
      </c>
      <c r="J172" s="30">
        <f t="shared" ref="J172:J177" si="120">E172-E171</f>
        <v>-72</v>
      </c>
      <c r="K172" s="13">
        <f t="shared" si="116"/>
        <v>-9.0529247910863503E-2</v>
      </c>
    </row>
    <row r="173" spans="1:12" s="15" customFormat="1" ht="14.25" x14ac:dyDescent="0.2">
      <c r="A173" s="21">
        <f t="shared" si="102"/>
        <v>39802</v>
      </c>
      <c r="B173" s="15">
        <f>2+161+0+61</f>
        <v>224</v>
      </c>
      <c r="C173" s="15">
        <f>0+0+5+14</f>
        <v>19</v>
      </c>
      <c r="D173" s="15">
        <f>14+74+0+44</f>
        <v>132</v>
      </c>
      <c r="E173" s="11">
        <f t="shared" si="86"/>
        <v>375</v>
      </c>
      <c r="F173" s="12">
        <v>605</v>
      </c>
      <c r="G173" s="15">
        <f t="shared" si="118"/>
        <v>230</v>
      </c>
      <c r="H173" s="49">
        <f t="shared" si="117"/>
        <v>-7.3506891271056668E-2</v>
      </c>
      <c r="I173" s="57">
        <f t="shared" si="119"/>
        <v>-6.9478908188585611E-2</v>
      </c>
      <c r="J173" s="30">
        <f t="shared" si="120"/>
        <v>-28</v>
      </c>
      <c r="K173" s="13">
        <f t="shared" ref="K173:K178" si="121">(F173-F121)/F121</f>
        <v>-0.16088765603328711</v>
      </c>
    </row>
    <row r="174" spans="1:12" s="15" customFormat="1" ht="14.25" x14ac:dyDescent="0.2">
      <c r="A174" s="21">
        <f t="shared" si="102"/>
        <v>39809</v>
      </c>
      <c r="B174" s="15">
        <f>0+75+0+48</f>
        <v>123</v>
      </c>
      <c r="C174" s="15">
        <f>2+0+2+34</f>
        <v>38</v>
      </c>
      <c r="D174" s="15">
        <f>3+23+1+48</f>
        <v>75</v>
      </c>
      <c r="E174" s="11">
        <f t="shared" si="86"/>
        <v>236</v>
      </c>
      <c r="F174" s="12">
        <v>610</v>
      </c>
      <c r="G174" s="15">
        <f t="shared" si="118"/>
        <v>374</v>
      </c>
      <c r="H174" s="49">
        <f t="shared" si="117"/>
        <v>8.2644628099173556E-3</v>
      </c>
      <c r="I174" s="57">
        <f t="shared" si="119"/>
        <v>-0.37066666666666664</v>
      </c>
      <c r="J174" s="30">
        <f t="shared" si="120"/>
        <v>-139</v>
      </c>
      <c r="K174" s="13">
        <f t="shared" si="121"/>
        <v>-3.4810126582278479E-2</v>
      </c>
    </row>
    <row r="175" spans="1:12" s="15" customFormat="1" ht="14.25" x14ac:dyDescent="0.2">
      <c r="A175" s="21">
        <f t="shared" si="102"/>
        <v>39816</v>
      </c>
      <c r="B175" s="15">
        <f>3+111+0+52</f>
        <v>166</v>
      </c>
      <c r="C175" s="15">
        <f>1+0+4+31</f>
        <v>36</v>
      </c>
      <c r="D175" s="15">
        <f>1+59+0+45</f>
        <v>105</v>
      </c>
      <c r="E175" s="11">
        <f t="shared" si="86"/>
        <v>307</v>
      </c>
      <c r="F175" s="12">
        <v>564</v>
      </c>
      <c r="G175" s="15">
        <f t="shared" si="118"/>
        <v>257</v>
      </c>
      <c r="H175" s="49">
        <f t="shared" si="117"/>
        <v>-7.5409836065573776E-2</v>
      </c>
      <c r="I175" s="57">
        <f t="shared" si="119"/>
        <v>0.30084745762711862</v>
      </c>
      <c r="J175" s="30">
        <f t="shared" si="120"/>
        <v>71</v>
      </c>
      <c r="K175" s="13">
        <f t="shared" si="121"/>
        <v>-0.12962962962962962</v>
      </c>
      <c r="L175" s="3">
        <f>AVERAGE(F19,F71,F123)</f>
        <v>622.66666666666663</v>
      </c>
    </row>
    <row r="176" spans="1:12" s="15" customFormat="1" ht="14.25" x14ac:dyDescent="0.2">
      <c r="A176" s="21">
        <f t="shared" si="102"/>
        <v>39823</v>
      </c>
      <c r="B176" s="15">
        <f>0+53+0+30</f>
        <v>83</v>
      </c>
      <c r="C176" s="15">
        <f>0+0+0+12</f>
        <v>12</v>
      </c>
      <c r="D176" s="15">
        <f>1+56+1+47</f>
        <v>105</v>
      </c>
      <c r="E176" s="11">
        <f t="shared" si="86"/>
        <v>200</v>
      </c>
      <c r="F176" s="12">
        <v>568</v>
      </c>
      <c r="G176" s="15">
        <f t="shared" si="118"/>
        <v>368</v>
      </c>
      <c r="H176" s="49">
        <f t="shared" ref="H176:H181" si="122">(F176-F175)/F175</f>
        <v>7.0921985815602835E-3</v>
      </c>
      <c r="I176" s="57">
        <f t="shared" si="119"/>
        <v>-0.34853420195439738</v>
      </c>
      <c r="J176" s="30">
        <f t="shared" si="120"/>
        <v>-107</v>
      </c>
      <c r="K176" s="13">
        <f t="shared" si="121"/>
        <v>-0.24266666666666667</v>
      </c>
      <c r="L176" s="3">
        <f t="shared" ref="L176:L226" si="123">AVERAGE(F20,F72,F124)</f>
        <v>747.33333333333337</v>
      </c>
    </row>
    <row r="177" spans="1:12" s="15" customFormat="1" ht="14.25" x14ac:dyDescent="0.2">
      <c r="A177" s="21">
        <f t="shared" si="102"/>
        <v>39830</v>
      </c>
      <c r="B177" s="15">
        <f>0+154+0+69</f>
        <v>223</v>
      </c>
      <c r="C177" s="15">
        <f>5+0+0+24</f>
        <v>29</v>
      </c>
      <c r="D177" s="15">
        <f>2+100+0+55</f>
        <v>157</v>
      </c>
      <c r="E177" s="11">
        <f t="shared" si="86"/>
        <v>409</v>
      </c>
      <c r="F177" s="12">
        <v>678</v>
      </c>
      <c r="G177" s="15">
        <f t="shared" si="118"/>
        <v>269</v>
      </c>
      <c r="H177" s="49">
        <f t="shared" si="122"/>
        <v>0.19366197183098591</v>
      </c>
      <c r="I177" s="57">
        <f t="shared" si="119"/>
        <v>1.0449999999999999</v>
      </c>
      <c r="J177" s="30">
        <f t="shared" si="120"/>
        <v>209</v>
      </c>
      <c r="K177" s="13">
        <f t="shared" si="121"/>
        <v>-1.0218978102189781E-2</v>
      </c>
      <c r="L177" s="3">
        <f t="shared" si="123"/>
        <v>648</v>
      </c>
    </row>
    <row r="178" spans="1:12" s="15" customFormat="1" ht="14.25" x14ac:dyDescent="0.2">
      <c r="A178" s="21">
        <f t="shared" si="102"/>
        <v>39837</v>
      </c>
      <c r="B178" s="15">
        <f>0+144+0+74</f>
        <v>218</v>
      </c>
      <c r="C178" s="15">
        <f>1+0+2+44</f>
        <v>47</v>
      </c>
      <c r="D178" s="15">
        <f>11+90+0+80</f>
        <v>181</v>
      </c>
      <c r="E178" s="11">
        <f t="shared" si="86"/>
        <v>446</v>
      </c>
      <c r="F178" s="12">
        <v>694</v>
      </c>
      <c r="G178" s="15">
        <f t="shared" ref="G178:G183" si="124">F178-E178</f>
        <v>248</v>
      </c>
      <c r="H178" s="49">
        <f t="shared" si="122"/>
        <v>2.359882005899705E-2</v>
      </c>
      <c r="I178" s="57">
        <f t="shared" ref="I178:I183" si="125">(E178-E177)/E177</f>
        <v>9.0464547677261614E-2</v>
      </c>
      <c r="J178" s="30">
        <f t="shared" ref="J178:J183" si="126">E178-E177</f>
        <v>37</v>
      </c>
      <c r="K178" s="13">
        <f t="shared" si="121"/>
        <v>7.098765432098765E-2</v>
      </c>
      <c r="L178" s="3">
        <f t="shared" si="123"/>
        <v>699</v>
      </c>
    </row>
    <row r="179" spans="1:12" s="15" customFormat="1" ht="14.25" x14ac:dyDescent="0.2">
      <c r="A179" s="21">
        <f t="shared" si="102"/>
        <v>39844</v>
      </c>
      <c r="B179" s="15">
        <f>0+54+0+32</f>
        <v>86</v>
      </c>
      <c r="C179" s="15">
        <f>2+0+0+25</f>
        <v>27</v>
      </c>
      <c r="D179" s="15">
        <f>0+28+0+14</f>
        <v>42</v>
      </c>
      <c r="E179" s="11">
        <f t="shared" si="86"/>
        <v>155</v>
      </c>
      <c r="F179" s="12">
        <v>636</v>
      </c>
      <c r="G179" s="15">
        <f t="shared" si="124"/>
        <v>481</v>
      </c>
      <c r="H179" s="49">
        <f t="shared" si="122"/>
        <v>-8.3573487031700283E-2</v>
      </c>
      <c r="I179" s="57">
        <f t="shared" si="125"/>
        <v>-0.65246636771300448</v>
      </c>
      <c r="J179" s="30">
        <f t="shared" si="126"/>
        <v>-291</v>
      </c>
      <c r="K179" s="13">
        <f t="shared" ref="K179:K184" si="127">(F179-F127)/F127</f>
        <v>-0.17402597402597403</v>
      </c>
      <c r="L179" s="3">
        <f t="shared" si="123"/>
        <v>716.33333333333337</v>
      </c>
    </row>
    <row r="180" spans="1:12" s="15" customFormat="1" ht="14.25" x14ac:dyDescent="0.2">
      <c r="A180" s="21">
        <f t="shared" si="102"/>
        <v>39851</v>
      </c>
      <c r="B180" s="15">
        <f>0+77+0+30</f>
        <v>107</v>
      </c>
      <c r="C180" s="15">
        <f>2+0+3+33</f>
        <v>38</v>
      </c>
      <c r="D180" s="15">
        <f>2+75+0+56</f>
        <v>133</v>
      </c>
      <c r="E180" s="11">
        <f t="shared" si="86"/>
        <v>278</v>
      </c>
      <c r="F180" s="12">
        <v>687</v>
      </c>
      <c r="G180" s="15">
        <f t="shared" si="124"/>
        <v>409</v>
      </c>
      <c r="H180" s="49">
        <f t="shared" si="122"/>
        <v>8.0188679245283015E-2</v>
      </c>
      <c r="I180" s="57">
        <f t="shared" si="125"/>
        <v>0.79354838709677422</v>
      </c>
      <c r="J180" s="30">
        <f t="shared" si="126"/>
        <v>123</v>
      </c>
      <c r="K180" s="13">
        <f t="shared" si="127"/>
        <v>-8.2777036048064079E-2</v>
      </c>
      <c r="L180" s="3">
        <f t="shared" si="123"/>
        <v>733.66666666666663</v>
      </c>
    </row>
    <row r="181" spans="1:12" s="15" customFormat="1" ht="14.25" x14ac:dyDescent="0.2">
      <c r="A181" s="21">
        <f t="shared" si="102"/>
        <v>39858</v>
      </c>
      <c r="B181" s="15">
        <f>1+119+0+30</f>
        <v>150</v>
      </c>
      <c r="C181" s="15">
        <f>6+0+3+33</f>
        <v>42</v>
      </c>
      <c r="D181" s="15">
        <f>2+96+1+41</f>
        <v>140</v>
      </c>
      <c r="E181" s="11">
        <f t="shared" si="86"/>
        <v>332</v>
      </c>
      <c r="F181" s="12">
        <v>646</v>
      </c>
      <c r="G181" s="15">
        <f t="shared" si="124"/>
        <v>314</v>
      </c>
      <c r="H181" s="49">
        <f t="shared" si="122"/>
        <v>-5.9679767103347887E-2</v>
      </c>
      <c r="I181" s="57">
        <f t="shared" si="125"/>
        <v>0.19424460431654678</v>
      </c>
      <c r="J181" s="30">
        <f t="shared" si="126"/>
        <v>54</v>
      </c>
      <c r="K181" s="13">
        <f t="shared" si="127"/>
        <v>-0.14663143989431968</v>
      </c>
      <c r="L181" s="3">
        <f t="shared" si="123"/>
        <v>774</v>
      </c>
    </row>
    <row r="182" spans="1:12" s="15" customFormat="1" ht="14.25" x14ac:dyDescent="0.2">
      <c r="A182" s="21">
        <f t="shared" si="102"/>
        <v>39865</v>
      </c>
      <c r="B182" s="15">
        <f>5+216+0+28</f>
        <v>249</v>
      </c>
      <c r="C182" s="15">
        <f>5+0+7+20</f>
        <v>32</v>
      </c>
      <c r="D182" s="15">
        <f>1+51+2+12</f>
        <v>66</v>
      </c>
      <c r="E182" s="11">
        <f t="shared" si="86"/>
        <v>347</v>
      </c>
      <c r="F182" s="12">
        <v>561</v>
      </c>
      <c r="G182" s="15">
        <f t="shared" si="124"/>
        <v>214</v>
      </c>
      <c r="H182" s="49">
        <f t="shared" ref="H182:H187" si="128">(F182-F181)/F181</f>
        <v>-0.13157894736842105</v>
      </c>
      <c r="I182" s="57">
        <f t="shared" si="125"/>
        <v>4.5180722891566265E-2</v>
      </c>
      <c r="J182" s="30">
        <f t="shared" si="126"/>
        <v>15</v>
      </c>
      <c r="K182" s="13">
        <f t="shared" si="127"/>
        <v>-7.57825370675453E-2</v>
      </c>
      <c r="L182" s="3">
        <f t="shared" si="123"/>
        <v>646.33333333333337</v>
      </c>
    </row>
    <row r="183" spans="1:12" s="15" customFormat="1" ht="14.25" x14ac:dyDescent="0.2">
      <c r="A183" s="21">
        <f t="shared" si="102"/>
        <v>39872</v>
      </c>
      <c r="B183" s="15">
        <f>1+239+0+144</f>
        <v>384</v>
      </c>
      <c r="C183" s="15">
        <f>7+0+4+31</f>
        <v>42</v>
      </c>
      <c r="D183" s="15">
        <f>7+127+1+48</f>
        <v>183</v>
      </c>
      <c r="E183" s="11">
        <f t="shared" si="86"/>
        <v>609</v>
      </c>
      <c r="F183" s="12">
        <v>507</v>
      </c>
      <c r="G183" s="15">
        <f t="shared" si="124"/>
        <v>-102</v>
      </c>
      <c r="H183" s="49">
        <f t="shared" si="128"/>
        <v>-9.6256684491978606E-2</v>
      </c>
      <c r="I183" s="57">
        <f t="shared" si="125"/>
        <v>0.75504322766570608</v>
      </c>
      <c r="J183" s="30">
        <f t="shared" si="126"/>
        <v>262</v>
      </c>
      <c r="K183" s="13">
        <f t="shared" si="127"/>
        <v>-0.19138755980861244</v>
      </c>
      <c r="L183" s="3">
        <f t="shared" si="123"/>
        <v>666.66666666666663</v>
      </c>
    </row>
    <row r="184" spans="1:12" s="15" customFormat="1" ht="14.25" x14ac:dyDescent="0.2">
      <c r="A184" s="21">
        <f t="shared" si="102"/>
        <v>39879</v>
      </c>
      <c r="B184" s="15">
        <f>3+254+6+67</f>
        <v>330</v>
      </c>
      <c r="C184" s="15">
        <f>7+0+4+19</f>
        <v>30</v>
      </c>
      <c r="D184" s="15">
        <f>9+72+0+43</f>
        <v>124</v>
      </c>
      <c r="E184" s="11">
        <f t="shared" si="86"/>
        <v>484</v>
      </c>
      <c r="F184" s="12">
        <v>585</v>
      </c>
      <c r="G184" s="15">
        <f t="shared" ref="G184:G189" si="129">F184-E184</f>
        <v>101</v>
      </c>
      <c r="H184" s="49">
        <f t="shared" si="128"/>
        <v>0.15384615384615385</v>
      </c>
      <c r="I184" s="57">
        <f t="shared" ref="I184:I189" si="130">(E184-E183)/E183</f>
        <v>-0.20525451559934318</v>
      </c>
      <c r="J184" s="30">
        <f t="shared" ref="J184:J189" si="131">E184-E183</f>
        <v>-125</v>
      </c>
      <c r="K184" s="13">
        <f t="shared" si="127"/>
        <v>-0.17952314165497896</v>
      </c>
      <c r="L184" s="3">
        <f t="shared" si="123"/>
        <v>666.66666666666663</v>
      </c>
    </row>
    <row r="185" spans="1:12" s="15" customFormat="1" ht="14.25" x14ac:dyDescent="0.2">
      <c r="A185" s="21">
        <f t="shared" si="102"/>
        <v>39886</v>
      </c>
      <c r="B185" s="15">
        <f>11+298+0+46</f>
        <v>355</v>
      </c>
      <c r="C185" s="15">
        <f>2+0+1+17</f>
        <v>20</v>
      </c>
      <c r="D185" s="15">
        <f>13+65+0+26</f>
        <v>104</v>
      </c>
      <c r="E185" s="11">
        <f t="shared" si="86"/>
        <v>479</v>
      </c>
      <c r="F185" s="12">
        <v>563</v>
      </c>
      <c r="G185" s="15">
        <f t="shared" si="129"/>
        <v>84</v>
      </c>
      <c r="H185" s="49">
        <f t="shared" si="128"/>
        <v>-3.7606837606837605E-2</v>
      </c>
      <c r="I185" s="57">
        <f t="shared" si="130"/>
        <v>-1.0330578512396695E-2</v>
      </c>
      <c r="J185" s="30">
        <f t="shared" si="131"/>
        <v>-5</v>
      </c>
      <c r="K185" s="13">
        <f t="shared" ref="K185:K190" si="132">(F185-F133)/F133</f>
        <v>-0.14826021180030258</v>
      </c>
      <c r="L185" s="3">
        <f t="shared" si="123"/>
        <v>599.66666666666663</v>
      </c>
    </row>
    <row r="186" spans="1:12" s="15" customFormat="1" ht="14.25" x14ac:dyDescent="0.2">
      <c r="A186" s="21">
        <f t="shared" si="102"/>
        <v>39893</v>
      </c>
      <c r="B186" s="15">
        <f>2+216+0+65</f>
        <v>283</v>
      </c>
      <c r="C186" s="15">
        <f>19+0+2+7</f>
        <v>28</v>
      </c>
      <c r="D186" s="15">
        <f>14+45+0+15</f>
        <v>74</v>
      </c>
      <c r="E186" s="11">
        <f t="shared" si="86"/>
        <v>385</v>
      </c>
      <c r="F186" s="12">
        <v>577</v>
      </c>
      <c r="G186" s="15">
        <f t="shared" si="129"/>
        <v>192</v>
      </c>
      <c r="H186" s="49">
        <f t="shared" si="128"/>
        <v>2.4866785079928951E-2</v>
      </c>
      <c r="I186" s="57">
        <f t="shared" si="130"/>
        <v>-0.19624217118997914</v>
      </c>
      <c r="J186" s="30">
        <f t="shared" si="131"/>
        <v>-94</v>
      </c>
      <c r="K186" s="13">
        <f t="shared" si="132"/>
        <v>-3.833333333333333E-2</v>
      </c>
      <c r="L186" s="3">
        <f t="shared" si="123"/>
        <v>530.33333333333337</v>
      </c>
    </row>
    <row r="187" spans="1:12" s="15" customFormat="1" ht="14.25" x14ac:dyDescent="0.2">
      <c r="A187" s="21">
        <f t="shared" si="102"/>
        <v>39900</v>
      </c>
      <c r="B187" s="15">
        <f>8+215+1+51</f>
        <v>275</v>
      </c>
      <c r="C187" s="15">
        <f>4+0+3+17</f>
        <v>24</v>
      </c>
      <c r="D187" s="15">
        <f>5+48+3+31</f>
        <v>87</v>
      </c>
      <c r="E187" s="11">
        <f t="shared" si="86"/>
        <v>386</v>
      </c>
      <c r="F187" s="12">
        <v>641</v>
      </c>
      <c r="G187" s="15">
        <f t="shared" si="129"/>
        <v>255</v>
      </c>
      <c r="H187" s="49">
        <f t="shared" si="128"/>
        <v>0.11091854419410745</v>
      </c>
      <c r="I187" s="57">
        <f t="shared" si="130"/>
        <v>2.5974025974025974E-3</v>
      </c>
      <c r="J187" s="30">
        <f t="shared" si="131"/>
        <v>1</v>
      </c>
      <c r="K187" s="13">
        <f t="shared" si="132"/>
        <v>0.26181102362204722</v>
      </c>
      <c r="L187" s="3">
        <f t="shared" si="123"/>
        <v>416</v>
      </c>
    </row>
    <row r="188" spans="1:12" s="15" customFormat="1" ht="14.25" x14ac:dyDescent="0.2">
      <c r="A188" s="21">
        <f t="shared" si="102"/>
        <v>39907</v>
      </c>
      <c r="B188" s="15">
        <f>6+231+0+121</f>
        <v>358</v>
      </c>
      <c r="C188" s="15">
        <f>4+0+2+7</f>
        <v>13</v>
      </c>
      <c r="D188" s="15">
        <f>7+43+10+28</f>
        <v>88</v>
      </c>
      <c r="E188" s="11">
        <f t="shared" si="86"/>
        <v>459</v>
      </c>
      <c r="F188" s="12">
        <v>663</v>
      </c>
      <c r="G188" s="15">
        <f t="shared" si="129"/>
        <v>204</v>
      </c>
      <c r="H188" s="49">
        <f t="shared" ref="H188" si="133">(F188-F187)/F187</f>
        <v>3.4321372854914198E-2</v>
      </c>
      <c r="I188" s="57">
        <f t="shared" si="130"/>
        <v>0.18911917098445596</v>
      </c>
      <c r="J188" s="30">
        <f t="shared" si="131"/>
        <v>73</v>
      </c>
      <c r="K188" s="13">
        <f t="shared" si="132"/>
        <v>0.33132530120481929</v>
      </c>
      <c r="L188" s="3">
        <f t="shared" si="123"/>
        <v>384.66666666666669</v>
      </c>
    </row>
    <row r="189" spans="1:12" s="15" customFormat="1" ht="14.25" x14ac:dyDescent="0.2">
      <c r="A189" s="21">
        <f t="shared" si="102"/>
        <v>39914</v>
      </c>
      <c r="B189" s="15">
        <f>12+242+0+71</f>
        <v>325</v>
      </c>
      <c r="C189" s="15">
        <f>8+0+9+13</f>
        <v>30</v>
      </c>
      <c r="D189" s="15">
        <f>4+43+0+23</f>
        <v>70</v>
      </c>
      <c r="E189" s="11">
        <f t="shared" si="86"/>
        <v>425</v>
      </c>
      <c r="F189" s="12">
        <v>664</v>
      </c>
      <c r="G189" s="15">
        <f t="shared" si="129"/>
        <v>239</v>
      </c>
      <c r="H189" s="49">
        <f t="shared" ref="H189" si="134">(F189-F188)/F188</f>
        <v>1.5082956259426848E-3</v>
      </c>
      <c r="I189" s="57">
        <f t="shared" si="130"/>
        <v>-7.407407407407407E-2</v>
      </c>
      <c r="J189" s="30">
        <f t="shared" si="131"/>
        <v>-34</v>
      </c>
      <c r="K189" s="13">
        <f t="shared" si="132"/>
        <v>0.68101265822784807</v>
      </c>
      <c r="L189" s="3">
        <f t="shared" si="123"/>
        <v>438.33333333333331</v>
      </c>
    </row>
    <row r="190" spans="1:12" s="15" customFormat="1" ht="14.25" x14ac:dyDescent="0.2">
      <c r="A190" s="21">
        <f t="shared" si="102"/>
        <v>39921</v>
      </c>
      <c r="B190" s="15">
        <f>15+328+1+72</f>
        <v>416</v>
      </c>
      <c r="C190" s="15">
        <f>10+0+2+15</f>
        <v>27</v>
      </c>
      <c r="D190" s="15">
        <f>3+31+10+29</f>
        <v>73</v>
      </c>
      <c r="E190" s="11">
        <f t="shared" si="86"/>
        <v>516</v>
      </c>
      <c r="F190" s="12">
        <v>623</v>
      </c>
      <c r="G190" s="15">
        <f t="shared" ref="G190" si="135">F190-E190</f>
        <v>107</v>
      </c>
      <c r="H190" s="49">
        <f t="shared" ref="H190" si="136">(F190-F189)/F189</f>
        <v>-6.1746987951807226E-2</v>
      </c>
      <c r="I190" s="57">
        <f t="shared" ref="I190" si="137">(E190-E189)/E189</f>
        <v>0.21411764705882352</v>
      </c>
      <c r="J190" s="30">
        <f t="shared" ref="J190" si="138">E190-E189</f>
        <v>91</v>
      </c>
      <c r="K190" s="13">
        <f t="shared" si="132"/>
        <v>0.39686098654708518</v>
      </c>
      <c r="L190" s="3">
        <f t="shared" si="123"/>
        <v>520.66666666666663</v>
      </c>
    </row>
    <row r="191" spans="1:12" s="15" customFormat="1" ht="14.25" x14ac:dyDescent="0.2">
      <c r="A191" s="21">
        <f t="shared" si="102"/>
        <v>39928</v>
      </c>
      <c r="B191" s="15">
        <f>10+276+3+93</f>
        <v>382</v>
      </c>
      <c r="C191" s="15">
        <f>12+0+3+7</f>
        <v>22</v>
      </c>
      <c r="D191" s="15">
        <f>3+61+0+27</f>
        <v>91</v>
      </c>
      <c r="E191" s="11">
        <f t="shared" ref="E191:E252" si="139">SUM(B191:D191)</f>
        <v>495</v>
      </c>
      <c r="F191" s="12">
        <v>387</v>
      </c>
      <c r="G191" s="15">
        <f t="shared" ref="G191:G197" si="140">F191-E191</f>
        <v>-108</v>
      </c>
      <c r="H191" s="49">
        <f t="shared" ref="H191" si="141">(F191-F190)/F190</f>
        <v>-0.37881219903691815</v>
      </c>
      <c r="I191" s="57">
        <f t="shared" ref="I191:I197" si="142">(E191-E190)/E190</f>
        <v>-4.0697674418604654E-2</v>
      </c>
      <c r="J191" s="30">
        <f t="shared" ref="J191:J197" si="143">E191-E190</f>
        <v>-21</v>
      </c>
      <c r="K191" s="13">
        <f t="shared" ref="K191" si="144">(F191-F139)/F139</f>
        <v>0.22082018927444794</v>
      </c>
      <c r="L191" s="3">
        <f t="shared" si="123"/>
        <v>439.33333333333331</v>
      </c>
    </row>
    <row r="192" spans="1:12" s="15" customFormat="1" ht="14.25" x14ac:dyDescent="0.2">
      <c r="A192" s="21">
        <f t="shared" si="102"/>
        <v>39935</v>
      </c>
      <c r="B192" s="15">
        <f>8+218+4+69</f>
        <v>299</v>
      </c>
      <c r="C192" s="15">
        <f>8+0+5+17</f>
        <v>30</v>
      </c>
      <c r="D192" s="15">
        <f>3+29+0+17</f>
        <v>49</v>
      </c>
      <c r="E192" s="11">
        <f t="shared" si="139"/>
        <v>378</v>
      </c>
      <c r="F192" s="12">
        <v>579</v>
      </c>
      <c r="G192" s="15">
        <f t="shared" si="140"/>
        <v>201</v>
      </c>
      <c r="H192" s="49">
        <f t="shared" ref="H192" si="145">(F192-F191)/F191</f>
        <v>0.49612403100775193</v>
      </c>
      <c r="I192" s="57">
        <f t="shared" si="142"/>
        <v>-0.23636363636363636</v>
      </c>
      <c r="J192" s="30">
        <f t="shared" si="143"/>
        <v>-117</v>
      </c>
      <c r="K192" s="13">
        <f t="shared" ref="K192" si="146">(F192-F140)/F140</f>
        <v>0.66858789625360227</v>
      </c>
      <c r="L192" s="3">
        <f t="shared" si="123"/>
        <v>434.66666666666669</v>
      </c>
    </row>
    <row r="193" spans="1:12" s="15" customFormat="1" ht="14.25" x14ac:dyDescent="0.2">
      <c r="A193" s="21">
        <f t="shared" si="102"/>
        <v>39942</v>
      </c>
      <c r="B193" s="15">
        <f>9+251+4+63</f>
        <v>327</v>
      </c>
      <c r="C193" s="15">
        <f>0+0+3+0</f>
        <v>3</v>
      </c>
      <c r="D193" s="15">
        <f>9+36+0+17</f>
        <v>62</v>
      </c>
      <c r="E193" s="11">
        <f t="shared" si="139"/>
        <v>392</v>
      </c>
      <c r="F193" s="12">
        <v>618</v>
      </c>
      <c r="G193" s="15">
        <f t="shared" si="140"/>
        <v>226</v>
      </c>
      <c r="H193" s="49">
        <f t="shared" ref="H193" si="147">(F193-F192)/F192</f>
        <v>6.7357512953367879E-2</v>
      </c>
      <c r="I193" s="57">
        <f t="shared" si="142"/>
        <v>3.7037037037037035E-2</v>
      </c>
      <c r="J193" s="30">
        <f t="shared" si="143"/>
        <v>14</v>
      </c>
      <c r="K193" s="13">
        <f t="shared" ref="K193" si="148">(F193-F141)/F141</f>
        <v>1.2230215827338129</v>
      </c>
      <c r="L193" s="3">
        <f t="shared" si="123"/>
        <v>416.33333333333331</v>
      </c>
    </row>
    <row r="194" spans="1:12" s="15" customFormat="1" ht="14.25" x14ac:dyDescent="0.2">
      <c r="A194" s="21">
        <f t="shared" si="102"/>
        <v>39949</v>
      </c>
      <c r="B194" s="15">
        <f>10+330+0+75</f>
        <v>415</v>
      </c>
      <c r="C194" s="15">
        <f>0+0+2+0</f>
        <v>2</v>
      </c>
      <c r="D194" s="15">
        <f>1+55+1+20</f>
        <v>77</v>
      </c>
      <c r="E194" s="11">
        <f t="shared" si="139"/>
        <v>494</v>
      </c>
      <c r="F194" s="12">
        <v>587</v>
      </c>
      <c r="G194" s="15">
        <f t="shared" si="140"/>
        <v>93</v>
      </c>
      <c r="H194" s="49">
        <f t="shared" ref="H194" si="149">(F194-F193)/F193</f>
        <v>-5.0161812297734629E-2</v>
      </c>
      <c r="I194" s="57">
        <f t="shared" si="142"/>
        <v>0.26020408163265307</v>
      </c>
      <c r="J194" s="30">
        <f t="shared" si="143"/>
        <v>102</v>
      </c>
      <c r="K194" s="13">
        <f t="shared" ref="K194" si="150">(F194-F142)/F142</f>
        <v>1.2664092664092663</v>
      </c>
      <c r="L194" s="3">
        <f t="shared" si="123"/>
        <v>409.33333333333331</v>
      </c>
    </row>
    <row r="195" spans="1:12" s="15" customFormat="1" ht="14.25" x14ac:dyDescent="0.2">
      <c r="A195" s="21">
        <f t="shared" si="102"/>
        <v>39956</v>
      </c>
      <c r="B195" s="15">
        <f>5+275+0+130</f>
        <v>410</v>
      </c>
      <c r="C195" s="15">
        <f>1+0+1+5</f>
        <v>7</v>
      </c>
      <c r="D195" s="15">
        <f>2+30+0+9</f>
        <v>41</v>
      </c>
      <c r="E195" s="11">
        <f t="shared" si="139"/>
        <v>458</v>
      </c>
      <c r="F195" s="12">
        <v>480</v>
      </c>
      <c r="G195" s="15">
        <f t="shared" si="140"/>
        <v>22</v>
      </c>
      <c r="H195" s="49">
        <f t="shared" ref="H195" si="151">(F195-F194)/F194</f>
        <v>-0.18228279386712096</v>
      </c>
      <c r="I195" s="57">
        <f t="shared" si="142"/>
        <v>-7.28744939271255E-2</v>
      </c>
      <c r="J195" s="30">
        <f t="shared" si="143"/>
        <v>-36</v>
      </c>
      <c r="K195" s="13">
        <f t="shared" ref="K195" si="152">(F195-F143)/F143</f>
        <v>0.10091743119266056</v>
      </c>
      <c r="L195" s="3">
        <f t="shared" si="123"/>
        <v>500.66666666666669</v>
      </c>
    </row>
    <row r="196" spans="1:12" s="15" customFormat="1" ht="14.25" x14ac:dyDescent="0.2">
      <c r="A196" s="21">
        <f t="shared" si="102"/>
        <v>39963</v>
      </c>
      <c r="B196" s="15">
        <f>7+277+4+102</f>
        <v>390</v>
      </c>
      <c r="C196" s="15">
        <f>6+0+5+9</f>
        <v>20</v>
      </c>
      <c r="D196" s="15">
        <f>2+31+1+27</f>
        <v>61</v>
      </c>
      <c r="E196" s="11">
        <f t="shared" si="139"/>
        <v>471</v>
      </c>
      <c r="F196" s="12">
        <v>541</v>
      </c>
      <c r="G196" s="15">
        <f t="shared" si="140"/>
        <v>70</v>
      </c>
      <c r="H196" s="49">
        <f t="shared" ref="H196:H197" si="153">(F196-F195)/F195</f>
        <v>0.12708333333333333</v>
      </c>
      <c r="I196" s="57">
        <f t="shared" si="142"/>
        <v>2.8384279475982533E-2</v>
      </c>
      <c r="J196" s="30">
        <f t="shared" si="143"/>
        <v>13</v>
      </c>
      <c r="K196" s="13">
        <f t="shared" ref="K196:K197" si="154">(F196-F144)/F144</f>
        <v>0.35249999999999998</v>
      </c>
      <c r="L196" s="3">
        <f t="shared" si="123"/>
        <v>476.66666666666669</v>
      </c>
    </row>
    <row r="197" spans="1:12" s="15" customFormat="1" ht="14.25" x14ac:dyDescent="0.2">
      <c r="A197" s="21">
        <f t="shared" si="102"/>
        <v>39970</v>
      </c>
      <c r="B197" s="15">
        <f>9+315+1+103</f>
        <v>428</v>
      </c>
      <c r="C197" s="15">
        <f>6+9+3</f>
        <v>18</v>
      </c>
      <c r="D197" s="15">
        <f>36+28</f>
        <v>64</v>
      </c>
      <c r="E197" s="11">
        <f t="shared" si="139"/>
        <v>510</v>
      </c>
      <c r="F197" s="12">
        <v>535</v>
      </c>
      <c r="G197" s="15">
        <f t="shared" si="140"/>
        <v>25</v>
      </c>
      <c r="H197" s="49">
        <f t="shared" si="153"/>
        <v>-1.1090573012939002E-2</v>
      </c>
      <c r="I197" s="57">
        <f t="shared" si="142"/>
        <v>8.2802547770700632E-2</v>
      </c>
      <c r="J197" s="30">
        <f t="shared" si="143"/>
        <v>39</v>
      </c>
      <c r="K197" s="13">
        <f t="shared" si="154"/>
        <v>0.22146118721461186</v>
      </c>
      <c r="L197" s="3">
        <f t="shared" si="123"/>
        <v>483.66666666666669</v>
      </c>
    </row>
    <row r="198" spans="1:12" s="15" customFormat="1" ht="14.25" x14ac:dyDescent="0.2">
      <c r="A198" s="21">
        <f t="shared" si="102"/>
        <v>39977</v>
      </c>
      <c r="B198" s="15">
        <f>26+341+1+82</f>
        <v>450</v>
      </c>
      <c r="C198" s="15">
        <f>13+0+4+13</f>
        <v>30</v>
      </c>
      <c r="D198" s="15">
        <f>5+29+0+27</f>
        <v>61</v>
      </c>
      <c r="E198" s="11">
        <f t="shared" si="139"/>
        <v>541</v>
      </c>
      <c r="F198" s="12">
        <v>654</v>
      </c>
      <c r="G198" s="15">
        <f t="shared" ref="G198" si="155">F198-E198</f>
        <v>113</v>
      </c>
      <c r="H198" s="49">
        <f t="shared" ref="H198" si="156">(F198-F197)/F197</f>
        <v>0.22242990654205608</v>
      </c>
      <c r="I198" s="57">
        <f t="shared" ref="I198" si="157">(E198-E197)/E197</f>
        <v>6.0784313725490195E-2</v>
      </c>
      <c r="J198" s="30">
        <f t="shared" ref="J198" si="158">E198-E197</f>
        <v>31</v>
      </c>
      <c r="K198" s="13">
        <f t="shared" ref="K198" si="159">(F198-F146)/F146</f>
        <v>0.30019880715705766</v>
      </c>
      <c r="L198" s="3">
        <f t="shared" si="123"/>
        <v>526</v>
      </c>
    </row>
    <row r="199" spans="1:12" s="15" customFormat="1" ht="14.25" x14ac:dyDescent="0.2">
      <c r="A199" s="21">
        <f t="shared" si="102"/>
        <v>39984</v>
      </c>
      <c r="B199" s="15">
        <f>14+504+7+93</f>
        <v>618</v>
      </c>
      <c r="C199" s="15">
        <f>13+0+9+15</f>
        <v>37</v>
      </c>
      <c r="D199" s="15">
        <f>3+20+0+12</f>
        <v>35</v>
      </c>
      <c r="E199" s="11">
        <f t="shared" si="139"/>
        <v>690</v>
      </c>
      <c r="F199" s="12">
        <v>628</v>
      </c>
      <c r="G199" s="15">
        <f t="shared" ref="G199" si="160">F199-E199</f>
        <v>-62</v>
      </c>
      <c r="H199" s="49">
        <f t="shared" ref="H199" si="161">(F199-F198)/F198</f>
        <v>-3.9755351681957186E-2</v>
      </c>
      <c r="I199" s="57">
        <f t="shared" ref="I199" si="162">(E199-E198)/E198</f>
        <v>0.2754158964879852</v>
      </c>
      <c r="J199" s="30">
        <f t="shared" ref="J199" si="163">E199-E198</f>
        <v>149</v>
      </c>
      <c r="K199" s="13">
        <f t="shared" ref="K199" si="164">(F199-F147)/F147</f>
        <v>0.145985401459854</v>
      </c>
      <c r="L199" s="3">
        <f t="shared" si="123"/>
        <v>493</v>
      </c>
    </row>
    <row r="200" spans="1:12" s="15" customFormat="1" ht="14.25" x14ac:dyDescent="0.2">
      <c r="A200" s="21">
        <f t="shared" si="102"/>
        <v>39991</v>
      </c>
      <c r="B200" s="15">
        <f>1+378+2+99</f>
        <v>480</v>
      </c>
      <c r="C200" s="15">
        <f>15+0+6+5</f>
        <v>26</v>
      </c>
      <c r="D200" s="15">
        <f>9+26+0+12</f>
        <v>47</v>
      </c>
      <c r="E200" s="11">
        <f t="shared" si="139"/>
        <v>553</v>
      </c>
      <c r="F200" s="12">
        <v>558</v>
      </c>
      <c r="G200" s="15">
        <f t="shared" ref="G200" si="165">F200-E200</f>
        <v>5</v>
      </c>
      <c r="H200" s="49">
        <f t="shared" ref="H200" si="166">(F200-F199)/F199</f>
        <v>-0.11146496815286625</v>
      </c>
      <c r="I200" s="57">
        <f t="shared" ref="I200" si="167">(E200-E199)/E199</f>
        <v>-0.19855072463768117</v>
      </c>
      <c r="J200" s="30">
        <f t="shared" ref="J200" si="168">E200-E199</f>
        <v>-137</v>
      </c>
      <c r="K200" s="13">
        <f t="shared" ref="K200" si="169">(F200-F148)/F148</f>
        <v>0.18220338983050846</v>
      </c>
      <c r="L200" s="3">
        <f t="shared" si="123"/>
        <v>472</v>
      </c>
    </row>
    <row r="201" spans="1:12" s="15" customFormat="1" ht="14.25" x14ac:dyDescent="0.2">
      <c r="A201" s="21">
        <f t="shared" si="102"/>
        <v>39998</v>
      </c>
      <c r="B201" s="15">
        <f>18+435+2+80</f>
        <v>535</v>
      </c>
      <c r="C201" s="15">
        <f>17+0+5+2</f>
        <v>24</v>
      </c>
      <c r="D201" s="15">
        <f>26+17+0+16</f>
        <v>59</v>
      </c>
      <c r="E201" s="11">
        <f t="shared" si="139"/>
        <v>618</v>
      </c>
      <c r="F201" s="12">
        <v>608</v>
      </c>
      <c r="G201" s="15">
        <f t="shared" ref="G201" si="170">F201-E201</f>
        <v>-10</v>
      </c>
      <c r="H201" s="49">
        <f t="shared" ref="H201" si="171">(F201-F200)/F200</f>
        <v>8.9605734767025089E-2</v>
      </c>
      <c r="I201" s="57">
        <f t="shared" ref="I201" si="172">(E201-E200)/E200</f>
        <v>0.11754068716094032</v>
      </c>
      <c r="J201" s="30">
        <f t="shared" ref="J201" si="173">E201-E200</f>
        <v>65</v>
      </c>
      <c r="K201" s="13">
        <f t="shared" ref="K201" si="174">(F201-F149)/F149</f>
        <v>0.60422163588390498</v>
      </c>
      <c r="L201" s="3">
        <f t="shared" si="123"/>
        <v>395</v>
      </c>
    </row>
    <row r="202" spans="1:12" s="15" customFormat="1" ht="14.25" x14ac:dyDescent="0.2">
      <c r="A202" s="21">
        <f t="shared" si="102"/>
        <v>40005</v>
      </c>
      <c r="B202" s="15">
        <f>10+346+0+66</f>
        <v>422</v>
      </c>
      <c r="C202" s="15">
        <f>7+0+0+2</f>
        <v>9</v>
      </c>
      <c r="D202" s="15">
        <f>6+7+0+8</f>
        <v>21</v>
      </c>
      <c r="E202" s="11">
        <f t="shared" si="139"/>
        <v>452</v>
      </c>
      <c r="F202" s="12">
        <v>600</v>
      </c>
      <c r="G202" s="15">
        <f t="shared" ref="G202" si="175">F202-E202</f>
        <v>148</v>
      </c>
      <c r="H202" s="49">
        <f t="shared" ref="H202" si="176">(F202-F201)/F201</f>
        <v>-1.3157894736842105E-2</v>
      </c>
      <c r="I202" s="57">
        <f t="shared" ref="I202" si="177">(E202-E201)/E201</f>
        <v>-0.26860841423948217</v>
      </c>
      <c r="J202" s="30">
        <f t="shared" ref="J202" si="178">E202-E201</f>
        <v>-166</v>
      </c>
      <c r="K202" s="13">
        <f t="shared" ref="K202" si="179">(F202-F150)/F150</f>
        <v>0.65745856353591159</v>
      </c>
      <c r="L202" s="3">
        <f t="shared" si="123"/>
        <v>496.33333333333331</v>
      </c>
    </row>
    <row r="203" spans="1:12" s="15" customFormat="1" ht="14.25" x14ac:dyDescent="0.2">
      <c r="A203" s="21">
        <f t="shared" si="102"/>
        <v>40012</v>
      </c>
      <c r="B203" s="15">
        <f>3+338+0+57</f>
        <v>398</v>
      </c>
      <c r="C203" s="15">
        <f>9+0+0+2</f>
        <v>11</v>
      </c>
      <c r="D203" s="15">
        <f>7+15+0+16</f>
        <v>38</v>
      </c>
      <c r="E203" s="11">
        <f t="shared" si="139"/>
        <v>447</v>
      </c>
      <c r="F203" s="12">
        <v>597</v>
      </c>
      <c r="G203" s="15">
        <f t="shared" ref="G203" si="180">F203-E203</f>
        <v>150</v>
      </c>
      <c r="H203" s="49">
        <f t="shared" ref="H203" si="181">(F203-F202)/F202</f>
        <v>-5.0000000000000001E-3</v>
      </c>
      <c r="I203" s="57">
        <f t="shared" ref="I203" si="182">(E203-E202)/E202</f>
        <v>-1.1061946902654867E-2</v>
      </c>
      <c r="J203" s="30">
        <f t="shared" ref="J203" si="183">E203-E202</f>
        <v>-5</v>
      </c>
      <c r="K203" s="13">
        <f t="shared" ref="K203" si="184">(F203-F151)/F151</f>
        <v>0.66759776536312854</v>
      </c>
      <c r="L203" s="3">
        <f t="shared" si="123"/>
        <v>482.66666666666669</v>
      </c>
    </row>
    <row r="204" spans="1:12" s="15" customFormat="1" ht="14.25" x14ac:dyDescent="0.2">
      <c r="A204" s="21">
        <f t="shared" si="102"/>
        <v>40019</v>
      </c>
      <c r="B204" s="15">
        <f>5+456+0+62</f>
        <v>523</v>
      </c>
      <c r="C204" s="15">
        <f>13+0+5+2</f>
        <v>20</v>
      </c>
      <c r="D204" s="15">
        <f>6+7+2+8</f>
        <v>23</v>
      </c>
      <c r="E204" s="11">
        <f t="shared" si="139"/>
        <v>566</v>
      </c>
      <c r="F204" s="12">
        <v>676</v>
      </c>
      <c r="G204" s="15">
        <f t="shared" ref="G204" si="185">F204-E204</f>
        <v>110</v>
      </c>
      <c r="H204" s="49">
        <f t="shared" ref="H204" si="186">(F204-F203)/F203</f>
        <v>0.13232830820770519</v>
      </c>
      <c r="I204" s="57">
        <f t="shared" ref="I204" si="187">(E204-E203)/E203</f>
        <v>0.26621923937360181</v>
      </c>
      <c r="J204" s="30">
        <f t="shared" ref="J204" si="188">E204-E203</f>
        <v>119</v>
      </c>
      <c r="K204" s="13">
        <f t="shared" ref="K204" si="189">(F204-F152)/F152</f>
        <v>0.73778920308483287</v>
      </c>
      <c r="L204" s="3">
        <f t="shared" si="123"/>
        <v>513.33333333333337</v>
      </c>
    </row>
    <row r="205" spans="1:12" s="15" customFormat="1" ht="14.25" x14ac:dyDescent="0.2">
      <c r="A205" s="21">
        <f t="shared" si="102"/>
        <v>40026</v>
      </c>
      <c r="B205" s="15">
        <f>3+537+2+96</f>
        <v>638</v>
      </c>
      <c r="C205" s="15">
        <f>5+0+0+1</f>
        <v>6</v>
      </c>
      <c r="D205" s="15">
        <f>9+21+3+14</f>
        <v>47</v>
      </c>
      <c r="E205" s="11">
        <f t="shared" si="139"/>
        <v>691</v>
      </c>
      <c r="F205" s="12">
        <v>482</v>
      </c>
      <c r="G205" s="15">
        <f t="shared" ref="G205" si="190">F205-E205</f>
        <v>-209</v>
      </c>
      <c r="H205" s="49">
        <f t="shared" ref="H205" si="191">(F205-F204)/F204</f>
        <v>-0.28698224852071008</v>
      </c>
      <c r="I205" s="57">
        <f t="shared" ref="I205" si="192">(E205-E204)/E204</f>
        <v>0.22084805653710246</v>
      </c>
      <c r="J205" s="30">
        <f t="shared" ref="J205" si="193">E205-E204</f>
        <v>125</v>
      </c>
      <c r="K205" s="13">
        <f t="shared" ref="K205" si="194">(F205-F153)/F153</f>
        <v>5.4704595185995623E-2</v>
      </c>
      <c r="L205" s="3">
        <f t="shared" si="123"/>
        <v>481.33333333333331</v>
      </c>
    </row>
    <row r="206" spans="1:12" s="15" customFormat="1" ht="14.25" x14ac:dyDescent="0.2">
      <c r="A206" s="21">
        <f t="shared" si="102"/>
        <v>40033</v>
      </c>
      <c r="B206" s="15">
        <f>2+371+4+66</f>
        <v>443</v>
      </c>
      <c r="C206" s="15">
        <f>15+0+1+1</f>
        <v>17</v>
      </c>
      <c r="D206" s="15">
        <f>27+20+0+9</f>
        <v>56</v>
      </c>
      <c r="E206" s="11">
        <f t="shared" si="139"/>
        <v>516</v>
      </c>
      <c r="F206" s="12">
        <v>555</v>
      </c>
      <c r="G206" s="15">
        <f t="shared" ref="G206" si="195">F206-E206</f>
        <v>39</v>
      </c>
      <c r="H206" s="49">
        <f t="shared" ref="H206" si="196">(F206-F205)/F205</f>
        <v>0.15145228215767634</v>
      </c>
      <c r="I206" s="57">
        <f t="shared" ref="I206" si="197">(E206-E205)/E205</f>
        <v>-0.25325615050651229</v>
      </c>
      <c r="J206" s="30">
        <f t="shared" ref="J206" si="198">E206-E205</f>
        <v>-175</v>
      </c>
      <c r="K206" s="13">
        <f t="shared" ref="K206" si="199">(F206-F154)/F154</f>
        <v>-0.14351851851851852</v>
      </c>
      <c r="L206" s="3">
        <f t="shared" si="123"/>
        <v>607.66666666666663</v>
      </c>
    </row>
    <row r="207" spans="1:12" s="15" customFormat="1" ht="14.25" x14ac:dyDescent="0.2">
      <c r="A207" s="21">
        <f t="shared" si="102"/>
        <v>40040</v>
      </c>
      <c r="B207" s="15">
        <f>4+411+0+100</f>
        <v>515</v>
      </c>
      <c r="C207" s="15">
        <f>8+0+0+2</f>
        <v>10</v>
      </c>
      <c r="D207" s="15">
        <f>8+12+0+9</f>
        <v>29</v>
      </c>
      <c r="E207" s="11">
        <f t="shared" si="139"/>
        <v>554</v>
      </c>
      <c r="F207" s="12">
        <v>459</v>
      </c>
      <c r="G207" s="15">
        <f t="shared" ref="G207" si="200">F207-E207</f>
        <v>-95</v>
      </c>
      <c r="H207" s="49">
        <f t="shared" ref="H207" si="201">(F207-F206)/F206</f>
        <v>-0.17297297297297298</v>
      </c>
      <c r="I207" s="57">
        <f t="shared" ref="I207" si="202">(E207-E206)/E206</f>
        <v>7.3643410852713184E-2</v>
      </c>
      <c r="J207" s="30">
        <f t="shared" ref="J207" si="203">E207-E206</f>
        <v>38</v>
      </c>
      <c r="K207" s="13">
        <f t="shared" ref="K207" si="204">(F207-F155)/F155</f>
        <v>-0.19190140845070422</v>
      </c>
      <c r="L207" s="3">
        <f t="shared" si="123"/>
        <v>595.33333333333337</v>
      </c>
    </row>
    <row r="208" spans="1:12" s="15" customFormat="1" ht="14.25" x14ac:dyDescent="0.2">
      <c r="A208" s="21">
        <f t="shared" si="102"/>
        <v>40047</v>
      </c>
      <c r="B208" s="15">
        <f>5+348+5+61</f>
        <v>419</v>
      </c>
      <c r="C208" s="15">
        <f>7+0+0+2</f>
        <v>9</v>
      </c>
      <c r="D208" s="15">
        <f>3+27+0+13</f>
        <v>43</v>
      </c>
      <c r="E208" s="11">
        <f t="shared" si="139"/>
        <v>471</v>
      </c>
      <c r="F208" s="12">
        <v>544</v>
      </c>
      <c r="G208" s="15">
        <f t="shared" ref="G208" si="205">F208-E208</f>
        <v>73</v>
      </c>
      <c r="H208" s="49">
        <f t="shared" ref="H208" si="206">(F208-F207)/F207</f>
        <v>0.18518518518518517</v>
      </c>
      <c r="I208" s="57">
        <f t="shared" ref="I208" si="207">(E208-E207)/E207</f>
        <v>-0.14981949458483754</v>
      </c>
      <c r="J208" s="30">
        <f t="shared" ref="J208" si="208">E208-E207</f>
        <v>-83</v>
      </c>
      <c r="K208" s="13">
        <f t="shared" ref="K208" si="209">(F208-F156)/F156</f>
        <v>3.619047619047619E-2</v>
      </c>
      <c r="L208" s="3">
        <f t="shared" si="123"/>
        <v>575</v>
      </c>
    </row>
    <row r="209" spans="1:19" s="15" customFormat="1" ht="14.25" x14ac:dyDescent="0.2">
      <c r="A209" s="21">
        <f t="shared" si="102"/>
        <v>40054</v>
      </c>
      <c r="B209" s="15">
        <f>7+312+0+71</f>
        <v>390</v>
      </c>
      <c r="C209" s="15">
        <f>15+0+1+6</f>
        <v>22</v>
      </c>
      <c r="D209" s="15">
        <f>11+21+0+8</f>
        <v>40</v>
      </c>
      <c r="E209" s="11">
        <f t="shared" si="139"/>
        <v>452</v>
      </c>
      <c r="F209" s="12">
        <v>544</v>
      </c>
      <c r="G209" s="15">
        <f t="shared" ref="G209" si="210">F209-E209</f>
        <v>92</v>
      </c>
      <c r="H209" s="49">
        <f t="shared" ref="H209" si="211">(F209-F208)/F208</f>
        <v>0</v>
      </c>
      <c r="I209" s="57">
        <f t="shared" ref="I209" si="212">(E209-E208)/E208</f>
        <v>-4.0339702760084924E-2</v>
      </c>
      <c r="J209" s="30">
        <f t="shared" ref="J209" si="213">E209-E208</f>
        <v>-19</v>
      </c>
      <c r="K209" s="13">
        <f t="shared" ref="K209" si="214">(F209-F157)/F157</f>
        <v>0.53239436619718306</v>
      </c>
      <c r="L209" s="3">
        <f t="shared" si="123"/>
        <v>510</v>
      </c>
    </row>
    <row r="210" spans="1:19" s="15" customFormat="1" ht="14.25" x14ac:dyDescent="0.2">
      <c r="A210" s="21">
        <f t="shared" si="102"/>
        <v>40061</v>
      </c>
      <c r="B210" s="15">
        <f>4+175+0+23</f>
        <v>202</v>
      </c>
      <c r="C210" s="15">
        <f>1+0+1+0</f>
        <v>2</v>
      </c>
      <c r="D210" s="15">
        <f>11+14+0+13</f>
        <v>38</v>
      </c>
      <c r="E210" s="11">
        <f t="shared" si="139"/>
        <v>242</v>
      </c>
      <c r="F210" s="12">
        <v>606</v>
      </c>
      <c r="G210" s="15">
        <f t="shared" ref="G210" si="215">F210-E210</f>
        <v>364</v>
      </c>
      <c r="H210" s="49">
        <f t="shared" ref="H210" si="216">(F210-F209)/F209</f>
        <v>0.11397058823529412</v>
      </c>
      <c r="I210" s="57">
        <f t="shared" ref="I210" si="217">(E210-E209)/E209</f>
        <v>-0.46460176991150443</v>
      </c>
      <c r="J210" s="30">
        <f t="shared" ref="J210" si="218">E210-E209</f>
        <v>-210</v>
      </c>
      <c r="K210" s="13">
        <f t="shared" ref="K210" si="219">(F210-F158)/F158</f>
        <v>13.428571428571429</v>
      </c>
      <c r="L210" s="3">
        <f t="shared" si="123"/>
        <v>426</v>
      </c>
      <c r="N210" s="3"/>
    </row>
    <row r="211" spans="1:19" s="15" customFormat="1" ht="14.25" x14ac:dyDescent="0.2">
      <c r="A211" s="21">
        <f t="shared" si="102"/>
        <v>40068</v>
      </c>
      <c r="B211" s="15">
        <f>10+133+0+20</f>
        <v>163</v>
      </c>
      <c r="C211" s="15">
        <f>0+3+1+2</f>
        <v>6</v>
      </c>
      <c r="D211" s="15">
        <f>16+9+0+5</f>
        <v>30</v>
      </c>
      <c r="E211" s="11">
        <f t="shared" si="139"/>
        <v>199</v>
      </c>
      <c r="F211" s="12">
        <v>457</v>
      </c>
      <c r="G211" s="15">
        <f t="shared" ref="G211" si="220">F211-E211</f>
        <v>258</v>
      </c>
      <c r="H211" s="49">
        <f t="shared" ref="H211" si="221">(F211-F210)/F210</f>
        <v>-0.24587458745874588</v>
      </c>
      <c r="I211" s="57">
        <f t="shared" ref="I211" si="222">(E211-E210)/E210</f>
        <v>-0.17768595041322313</v>
      </c>
      <c r="J211" s="30">
        <f t="shared" ref="J211" si="223">E211-E210</f>
        <v>-43</v>
      </c>
      <c r="K211" s="13">
        <f t="shared" ref="K211" si="224">(F211-F159)/F159</f>
        <v>-4.5929018789144051E-2</v>
      </c>
      <c r="L211" s="3">
        <f t="shared" si="123"/>
        <v>606.33333333333337</v>
      </c>
      <c r="N211" s="3"/>
      <c r="Q211" s="3"/>
      <c r="S211" s="24"/>
    </row>
    <row r="212" spans="1:19" s="15" customFormat="1" ht="14.25" x14ac:dyDescent="0.2">
      <c r="A212" s="21">
        <f t="shared" si="102"/>
        <v>40075</v>
      </c>
      <c r="B212" s="15">
        <f>5+99+0+15</f>
        <v>119</v>
      </c>
      <c r="C212" s="15">
        <f>16+0+0+7</f>
        <v>23</v>
      </c>
      <c r="D212" s="15">
        <f>8+6+0+4</f>
        <v>18</v>
      </c>
      <c r="E212" s="11">
        <f t="shared" si="139"/>
        <v>160</v>
      </c>
      <c r="F212" s="12">
        <v>514</v>
      </c>
      <c r="G212" s="15">
        <f t="shared" ref="G212" si="225">F212-E212</f>
        <v>354</v>
      </c>
      <c r="H212" s="49">
        <f t="shared" ref="H212" si="226">(F212-F211)/F211</f>
        <v>0.12472647702407003</v>
      </c>
      <c r="I212" s="57">
        <f t="shared" ref="I212" si="227">(E212-E211)/E211</f>
        <v>-0.19597989949748743</v>
      </c>
      <c r="J212" s="30">
        <f t="shared" ref="J212" si="228">E212-E211</f>
        <v>-39</v>
      </c>
      <c r="K212" s="13">
        <f t="shared" ref="K212" si="229">(F212-F160)/F160</f>
        <v>-0.13758389261744966</v>
      </c>
      <c r="L212" s="3">
        <f t="shared" si="123"/>
        <v>616.33333333333337</v>
      </c>
      <c r="N212" s="3"/>
    </row>
    <row r="213" spans="1:19" s="15" customFormat="1" ht="14.25" x14ac:dyDescent="0.2">
      <c r="A213" s="21">
        <f t="shared" ref="A213:A276" si="230">7+A212</f>
        <v>40082</v>
      </c>
      <c r="B213" s="15">
        <f>17+96+1+7</f>
        <v>121</v>
      </c>
      <c r="C213" s="15">
        <f>4+0+1+0</f>
        <v>5</v>
      </c>
      <c r="D213" s="15">
        <f>14+67+2+3</f>
        <v>86</v>
      </c>
      <c r="E213" s="11">
        <f t="shared" si="139"/>
        <v>212</v>
      </c>
      <c r="F213" s="12">
        <v>553</v>
      </c>
      <c r="G213" s="15">
        <f t="shared" ref="G213:G214" si="231">F213-E213</f>
        <v>341</v>
      </c>
      <c r="H213" s="49">
        <f t="shared" ref="H213" si="232">(F213-F212)/F212</f>
        <v>7.5875486381322951E-2</v>
      </c>
      <c r="I213" s="57">
        <f t="shared" ref="I213" si="233">(E213-E212)/E212</f>
        <v>0.32500000000000001</v>
      </c>
      <c r="J213" s="30">
        <f t="shared" ref="J213" si="234">E213-E212</f>
        <v>52</v>
      </c>
      <c r="K213" s="13">
        <f t="shared" ref="K213" si="235">(F213-F161)/F161</f>
        <v>-3.4904013961605584E-2</v>
      </c>
      <c r="L213" s="3">
        <f t="shared" si="123"/>
        <v>575.33333333333337</v>
      </c>
      <c r="N213" s="3"/>
    </row>
    <row r="214" spans="1:19" s="15" customFormat="1" ht="14.25" x14ac:dyDescent="0.2">
      <c r="A214" s="21">
        <f t="shared" si="230"/>
        <v>40089</v>
      </c>
      <c r="B214" s="15">
        <f>11+142+11+2</f>
        <v>166</v>
      </c>
      <c r="C214" s="15">
        <f>2+0+3+2</f>
        <v>7</v>
      </c>
      <c r="D214" s="15">
        <f>2+48+0+6</f>
        <v>56</v>
      </c>
      <c r="E214" s="11">
        <f t="shared" si="139"/>
        <v>229</v>
      </c>
      <c r="F214" s="12">
        <v>445</v>
      </c>
      <c r="G214" s="15">
        <f t="shared" si="231"/>
        <v>216</v>
      </c>
      <c r="H214" s="49">
        <f t="shared" ref="H214" si="236">(F214-F213)/F213</f>
        <v>-0.19529837251356238</v>
      </c>
      <c r="I214" s="57">
        <f t="shared" ref="I214" si="237">(E214-E213)/E213</f>
        <v>8.0188679245283015E-2</v>
      </c>
      <c r="J214" s="30">
        <f t="shared" ref="J214" si="238">E214-E213</f>
        <v>17</v>
      </c>
      <c r="K214" s="13">
        <f t="shared" ref="K214" si="239">(F214-F162)/F162</f>
        <v>-0.15879017013232513</v>
      </c>
      <c r="L214" s="3">
        <f t="shared" si="123"/>
        <v>606.66666666666663</v>
      </c>
    </row>
    <row r="215" spans="1:19" s="15" customFormat="1" ht="14.25" x14ac:dyDescent="0.2">
      <c r="A215" s="21">
        <f t="shared" si="230"/>
        <v>40096</v>
      </c>
      <c r="B215" s="15">
        <f>12+164+4+31</f>
        <v>211</v>
      </c>
      <c r="C215" s="15">
        <f>3+2+8+9</f>
        <v>22</v>
      </c>
      <c r="D215" s="15">
        <f>16+42+0+31</f>
        <v>89</v>
      </c>
      <c r="E215" s="11">
        <f t="shared" si="139"/>
        <v>322</v>
      </c>
      <c r="F215" s="12">
        <v>430</v>
      </c>
      <c r="G215" s="15">
        <f t="shared" ref="G215" si="240">F215-E215</f>
        <v>108</v>
      </c>
      <c r="H215" s="49">
        <f t="shared" ref="H215" si="241">(F215-F214)/F214</f>
        <v>-3.3707865168539325E-2</v>
      </c>
      <c r="I215" s="57">
        <f t="shared" ref="I215" si="242">(E215-E214)/E214</f>
        <v>0.40611353711790393</v>
      </c>
      <c r="J215" s="30">
        <f t="shared" ref="J215" si="243">E215-E214</f>
        <v>93</v>
      </c>
      <c r="K215" s="13">
        <f t="shared" ref="K215" si="244">(F215-F163)/F163</f>
        <v>-0.21960072595281308</v>
      </c>
      <c r="L215" s="3">
        <f t="shared" si="123"/>
        <v>621.33333333333337</v>
      </c>
    </row>
    <row r="216" spans="1:19" s="15" customFormat="1" ht="14.25" x14ac:dyDescent="0.2">
      <c r="A216" s="21">
        <f t="shared" si="230"/>
        <v>40103</v>
      </c>
      <c r="B216" s="15">
        <f>2+118+0+47</f>
        <v>167</v>
      </c>
      <c r="C216" s="15">
        <f>0+2+6+1</f>
        <v>9</v>
      </c>
      <c r="D216" s="15">
        <f>6+66+0+42</f>
        <v>114</v>
      </c>
      <c r="E216" s="11">
        <f t="shared" si="139"/>
        <v>290</v>
      </c>
      <c r="F216" s="12">
        <v>497</v>
      </c>
      <c r="G216" s="15">
        <f t="shared" ref="G216" si="245">F216-E216</f>
        <v>207</v>
      </c>
      <c r="H216" s="49">
        <f t="shared" ref="H216" si="246">(F216-F215)/F215</f>
        <v>0.1558139534883721</v>
      </c>
      <c r="I216" s="57">
        <f t="shared" ref="I216" si="247">(E216-E215)/E215</f>
        <v>-9.9378881987577633E-2</v>
      </c>
      <c r="J216" s="30">
        <f t="shared" ref="J216" si="248">E216-E215</f>
        <v>-32</v>
      </c>
      <c r="K216" s="13">
        <f t="shared" ref="K216" si="249">(F216-F164)/F164</f>
        <v>-0.13864818024263431</v>
      </c>
      <c r="L216" s="3">
        <f t="shared" si="123"/>
        <v>615.66666666666663</v>
      </c>
    </row>
    <row r="217" spans="1:19" s="15" customFormat="1" ht="14.25" x14ac:dyDescent="0.2">
      <c r="A217" s="21">
        <f t="shared" si="230"/>
        <v>40110</v>
      </c>
      <c r="B217" s="15">
        <f>12+123+1+94</f>
        <v>230</v>
      </c>
      <c r="C217" s="15">
        <f>6+0+2+9</f>
        <v>17</v>
      </c>
      <c r="D217" s="15">
        <f>1+75+0+55</f>
        <v>131</v>
      </c>
      <c r="E217" s="11">
        <f t="shared" si="139"/>
        <v>378</v>
      </c>
      <c r="F217" s="12">
        <v>593</v>
      </c>
      <c r="G217" s="15">
        <f t="shared" ref="G217" si="250">F217-E217</f>
        <v>215</v>
      </c>
      <c r="H217" s="49">
        <f t="shared" ref="H217" si="251">(F217-F216)/F216</f>
        <v>0.19315895372233399</v>
      </c>
      <c r="I217" s="57">
        <f t="shared" ref="I217" si="252">(E217-E216)/E216</f>
        <v>0.30344827586206896</v>
      </c>
      <c r="J217" s="30">
        <f t="shared" ref="J217" si="253">E217-E216</f>
        <v>88</v>
      </c>
      <c r="K217" s="13">
        <f t="shared" ref="K217" si="254">(F217-F165)/F165</f>
        <v>9.0073529411764705E-2</v>
      </c>
      <c r="L217" s="3">
        <f t="shared" si="123"/>
        <v>611</v>
      </c>
    </row>
    <row r="218" spans="1:19" s="15" customFormat="1" ht="14.25" x14ac:dyDescent="0.2">
      <c r="A218" s="21">
        <f t="shared" si="230"/>
        <v>40117</v>
      </c>
      <c r="B218" s="15">
        <f>3+114+0+198</f>
        <v>315</v>
      </c>
      <c r="C218" s="15">
        <f>3+0+2+9</f>
        <v>14</v>
      </c>
      <c r="D218" s="15">
        <f>1+41+3+119</f>
        <v>164</v>
      </c>
      <c r="E218" s="11">
        <f t="shared" si="139"/>
        <v>493</v>
      </c>
      <c r="F218" s="12">
        <v>558</v>
      </c>
      <c r="G218" s="15">
        <f t="shared" ref="G218" si="255">F218-E218</f>
        <v>65</v>
      </c>
      <c r="H218" s="49">
        <f t="shared" ref="H218" si="256">(F218-F217)/F217</f>
        <v>-5.9021922428330521E-2</v>
      </c>
      <c r="I218" s="57">
        <f t="shared" ref="I218" si="257">(E218-E217)/E217</f>
        <v>0.30423280423280424</v>
      </c>
      <c r="J218" s="30">
        <f t="shared" ref="J218" si="258">E218-E217</f>
        <v>115</v>
      </c>
      <c r="K218" s="13">
        <f t="shared" ref="K218" si="259">(F218-F166)/F166</f>
        <v>7.1017274472168906E-2</v>
      </c>
      <c r="L218" s="3">
        <f t="shared" si="123"/>
        <v>691.66666666666663</v>
      </c>
    </row>
    <row r="219" spans="1:19" s="15" customFormat="1" ht="14.25" x14ac:dyDescent="0.2">
      <c r="A219" s="21">
        <f t="shared" si="230"/>
        <v>40124</v>
      </c>
      <c r="B219" s="15">
        <f>3+99+6+155</f>
        <v>263</v>
      </c>
      <c r="C219" s="15">
        <f>1+1+7+6</f>
        <v>15</v>
      </c>
      <c r="D219" s="15">
        <f>18+63+0+86</f>
        <v>167</v>
      </c>
      <c r="E219" s="11">
        <f t="shared" si="139"/>
        <v>445</v>
      </c>
      <c r="F219" s="12">
        <v>689</v>
      </c>
      <c r="G219" s="15">
        <f t="shared" ref="G219" si="260">F219-E219</f>
        <v>244</v>
      </c>
      <c r="H219" s="49">
        <f t="shared" ref="H219" si="261">(F219-F218)/F218</f>
        <v>0.23476702508960573</v>
      </c>
      <c r="I219" s="57">
        <f t="shared" ref="I219" si="262">(E219-E218)/E218</f>
        <v>-9.7363083164300201E-2</v>
      </c>
      <c r="J219" s="30">
        <f t="shared" ref="J219" si="263">E219-E218</f>
        <v>-48</v>
      </c>
      <c r="K219" s="13">
        <f t="shared" ref="K219" si="264">(F219-F167)/F167</f>
        <v>0.18181818181818182</v>
      </c>
      <c r="L219" s="3">
        <f t="shared" si="123"/>
        <v>684.33333333333337</v>
      </c>
    </row>
    <row r="220" spans="1:19" s="15" customFormat="1" ht="14.25" x14ac:dyDescent="0.2">
      <c r="A220" s="21">
        <f t="shared" si="230"/>
        <v>40131</v>
      </c>
      <c r="B220" s="15">
        <f>6+210+1+295</f>
        <v>512</v>
      </c>
      <c r="C220" s="15">
        <f>1+0+4+15</f>
        <v>20</v>
      </c>
      <c r="D220" s="15">
        <f>18+65+2+141</f>
        <v>226</v>
      </c>
      <c r="E220" s="11">
        <f t="shared" si="139"/>
        <v>758</v>
      </c>
      <c r="F220" s="12">
        <v>719</v>
      </c>
      <c r="G220" s="15">
        <f t="shared" ref="G220" si="265">F220-E220</f>
        <v>-39</v>
      </c>
      <c r="H220" s="49">
        <f t="shared" ref="H220" si="266">(F220-F219)/F219</f>
        <v>4.3541364296081277E-2</v>
      </c>
      <c r="I220" s="57">
        <f t="shared" ref="I220" si="267">(E220-E219)/E219</f>
        <v>0.70337078651685392</v>
      </c>
      <c r="J220" s="30">
        <f t="shared" ref="J220" si="268">E220-E219</f>
        <v>313</v>
      </c>
      <c r="K220" s="13">
        <f t="shared" ref="K220" si="269">(F220-F168)/F168</f>
        <v>4.5058139534883718E-2</v>
      </c>
      <c r="L220" s="3">
        <f t="shared" si="123"/>
        <v>708</v>
      </c>
    </row>
    <row r="221" spans="1:19" s="15" customFormat="1" ht="14.25" x14ac:dyDescent="0.2">
      <c r="A221" s="21">
        <f t="shared" si="230"/>
        <v>40138</v>
      </c>
      <c r="B221" s="15">
        <f>2+139+7+252</f>
        <v>400</v>
      </c>
      <c r="C221" s="15">
        <f>5+1+1+60</f>
        <v>67</v>
      </c>
      <c r="D221" s="15">
        <f>10+71+1+81</f>
        <v>163</v>
      </c>
      <c r="E221" s="11">
        <f t="shared" si="139"/>
        <v>630</v>
      </c>
      <c r="F221" s="12">
        <v>722</v>
      </c>
      <c r="G221" s="15">
        <f t="shared" ref="G221" si="270">F221-E221</f>
        <v>92</v>
      </c>
      <c r="H221" s="49">
        <f t="shared" ref="H221" si="271">(F221-F220)/F220</f>
        <v>4.172461752433936E-3</v>
      </c>
      <c r="I221" s="57">
        <f t="shared" ref="I221" si="272">(E221-E220)/E220</f>
        <v>-0.16886543535620052</v>
      </c>
      <c r="J221" s="30">
        <f t="shared" ref="J221" si="273">E221-E220</f>
        <v>-128</v>
      </c>
      <c r="K221" s="13">
        <f t="shared" ref="K221" si="274">(F221-F169)/F169</f>
        <v>0.31034482758620691</v>
      </c>
      <c r="L221" s="3">
        <f t="shared" si="123"/>
        <v>645.33333333333337</v>
      </c>
    </row>
    <row r="222" spans="1:19" s="15" customFormat="1" ht="14.25" x14ac:dyDescent="0.2">
      <c r="A222" s="21">
        <f t="shared" si="230"/>
        <v>40145</v>
      </c>
      <c r="B222" s="15">
        <f>0+257+3+173</f>
        <v>433</v>
      </c>
      <c r="C222" s="15">
        <f>1+0+1+47</f>
        <v>49</v>
      </c>
      <c r="D222" s="15">
        <f>1+75+0+60</f>
        <v>136</v>
      </c>
      <c r="E222" s="11">
        <f t="shared" si="139"/>
        <v>618</v>
      </c>
      <c r="F222" s="12">
        <v>593</v>
      </c>
      <c r="G222" s="15">
        <f t="shared" ref="G222" si="275">F222-E222</f>
        <v>-25</v>
      </c>
      <c r="H222" s="49">
        <f t="shared" ref="H222" si="276">(F222-F221)/F221</f>
        <v>-0.17867036011080331</v>
      </c>
      <c r="I222" s="57">
        <f t="shared" ref="I222" si="277">(E222-E221)/E221</f>
        <v>-1.9047619047619049E-2</v>
      </c>
      <c r="J222" s="30">
        <f t="shared" ref="J222" si="278">E222-E221</f>
        <v>-12</v>
      </c>
      <c r="K222" s="13">
        <f t="shared" ref="K222" si="279">(F222-F170)/F170</f>
        <v>-8.4876543209876545E-2</v>
      </c>
      <c r="L222" s="3">
        <f t="shared" si="123"/>
        <v>685</v>
      </c>
    </row>
    <row r="223" spans="1:19" s="15" customFormat="1" ht="14.25" x14ac:dyDescent="0.2">
      <c r="A223" s="21">
        <f t="shared" si="230"/>
        <v>40152</v>
      </c>
      <c r="B223" s="15">
        <f>6+342+2+150</f>
        <v>500</v>
      </c>
      <c r="C223" s="15">
        <f>0+0+4+37</f>
        <v>41</v>
      </c>
      <c r="D223" s="15">
        <f>1+54+0+51</f>
        <v>106</v>
      </c>
      <c r="E223" s="11">
        <f t="shared" si="139"/>
        <v>647</v>
      </c>
      <c r="F223" s="12">
        <v>625</v>
      </c>
      <c r="G223" s="15">
        <f t="shared" ref="G223" si="280">F223-E223</f>
        <v>-22</v>
      </c>
      <c r="H223" s="49">
        <f t="shared" ref="H223" si="281">(F223-F222)/F222</f>
        <v>5.3962900505902189E-2</v>
      </c>
      <c r="I223" s="57">
        <f t="shared" ref="I223" si="282">(E223-E222)/E222</f>
        <v>4.6925566343042069E-2</v>
      </c>
      <c r="J223" s="30">
        <f t="shared" ref="J223" si="283">E223-E222</f>
        <v>29</v>
      </c>
      <c r="K223" s="13">
        <f t="shared" ref="K223" si="284">(F223-F171)/F171</f>
        <v>-0.12219101123595505</v>
      </c>
      <c r="L223" s="3">
        <f t="shared" si="123"/>
        <v>714</v>
      </c>
    </row>
    <row r="224" spans="1:19" s="15" customFormat="1" ht="14.25" x14ac:dyDescent="0.2">
      <c r="A224" s="21">
        <f t="shared" si="230"/>
        <v>40159</v>
      </c>
      <c r="B224" s="15">
        <f>0+327+2+136</f>
        <v>465</v>
      </c>
      <c r="C224" s="15">
        <f>2+0+4+41</f>
        <v>47</v>
      </c>
      <c r="D224" s="15">
        <f>1+70+0+39</f>
        <v>110</v>
      </c>
      <c r="E224" s="11">
        <f t="shared" si="139"/>
        <v>622</v>
      </c>
      <c r="F224" s="12">
        <v>599</v>
      </c>
      <c r="G224" s="15">
        <f t="shared" ref="G224" si="285">F224-E224</f>
        <v>-23</v>
      </c>
      <c r="H224" s="49">
        <f t="shared" ref="H224" si="286">(F224-F223)/F223</f>
        <v>-4.1599999999999998E-2</v>
      </c>
      <c r="I224" s="57">
        <f t="shared" ref="I224" si="287">(E224-E223)/E223</f>
        <v>-3.8639876352395672E-2</v>
      </c>
      <c r="J224" s="30">
        <f t="shared" ref="J224" si="288">E224-E223</f>
        <v>-25</v>
      </c>
      <c r="K224" s="13">
        <f t="shared" ref="K224" si="289">(F224-F172)/F172</f>
        <v>-8.2695252679938741E-2</v>
      </c>
      <c r="L224" s="3">
        <f t="shared" si="123"/>
        <v>645</v>
      </c>
    </row>
    <row r="225" spans="1:12" s="15" customFormat="1" ht="14.25" x14ac:dyDescent="0.2">
      <c r="A225" s="21">
        <f t="shared" si="230"/>
        <v>40166</v>
      </c>
      <c r="B225" s="15">
        <f>10+294+0+82</f>
        <v>386</v>
      </c>
      <c r="C225" s="15">
        <f>0+0+6+35</f>
        <v>41</v>
      </c>
      <c r="D225" s="15">
        <f>2+54+0+58</f>
        <v>114</v>
      </c>
      <c r="E225" s="11">
        <f t="shared" si="139"/>
        <v>541</v>
      </c>
      <c r="F225" s="12">
        <v>466</v>
      </c>
      <c r="G225" s="15">
        <f t="shared" ref="G225" si="290">F225-E225</f>
        <v>-75</v>
      </c>
      <c r="H225" s="49">
        <f t="shared" ref="H225" si="291">(F225-F224)/F224</f>
        <v>-0.22203672787979967</v>
      </c>
      <c r="I225" s="57">
        <f t="shared" ref="I225" si="292">(E225-E224)/E224</f>
        <v>-0.13022508038585209</v>
      </c>
      <c r="J225" s="30">
        <f t="shared" ref="J225" si="293">E225-E224</f>
        <v>-81</v>
      </c>
      <c r="K225" s="13">
        <f t="shared" ref="K225" si="294">(F225-F173)/F173</f>
        <v>-0.22975206611570248</v>
      </c>
      <c r="L225" s="3">
        <f t="shared" si="123"/>
        <v>617.66666666666663</v>
      </c>
    </row>
    <row r="226" spans="1:12" s="15" customFormat="1" ht="14.25" x14ac:dyDescent="0.2">
      <c r="A226" s="21">
        <f t="shared" si="230"/>
        <v>40173</v>
      </c>
      <c r="B226" s="15">
        <f>10+175+0+69</f>
        <v>254</v>
      </c>
      <c r="C226" s="15">
        <f>0+0+2+21</f>
        <v>23</v>
      </c>
      <c r="D226" s="15">
        <f>6+41+0+51</f>
        <v>98</v>
      </c>
      <c r="E226" s="11">
        <f t="shared" si="139"/>
        <v>375</v>
      </c>
      <c r="F226" s="12">
        <v>647</v>
      </c>
      <c r="G226" s="15">
        <f t="shared" ref="G226:G227" si="295">F226-E226</f>
        <v>272</v>
      </c>
      <c r="H226" s="49">
        <f t="shared" ref="H226" si="296">(F226-F225)/F225</f>
        <v>0.388412017167382</v>
      </c>
      <c r="I226" s="57">
        <f t="shared" ref="I226" si="297">(E226-E225)/E225</f>
        <v>-0.30683918669131238</v>
      </c>
      <c r="J226" s="30">
        <f t="shared" ref="J226" si="298">E226-E225</f>
        <v>-166</v>
      </c>
      <c r="K226" s="13">
        <f t="shared" ref="K226" si="299">(F226-F174)/F174</f>
        <v>6.0655737704918035E-2</v>
      </c>
      <c r="L226" s="3">
        <f t="shared" si="123"/>
        <v>578.66666666666663</v>
      </c>
    </row>
    <row r="227" spans="1:12" s="15" customFormat="1" ht="14.25" x14ac:dyDescent="0.2">
      <c r="A227" s="21">
        <f t="shared" si="230"/>
        <v>40180</v>
      </c>
      <c r="B227" s="15">
        <f>0+73+0+37</f>
        <v>110</v>
      </c>
      <c r="C227" s="15">
        <f>2+0+5+42</f>
        <v>49</v>
      </c>
      <c r="D227" s="15">
        <f>6+19+0+23</f>
        <v>48</v>
      </c>
      <c r="E227" s="11">
        <f t="shared" si="139"/>
        <v>207</v>
      </c>
      <c r="F227" s="12">
        <v>770</v>
      </c>
      <c r="G227" s="15">
        <f t="shared" si="295"/>
        <v>563</v>
      </c>
      <c r="H227" s="49">
        <f t="shared" ref="H227" si="300">(F227-F226)/F226</f>
        <v>0.1901081916537867</v>
      </c>
      <c r="I227" s="57">
        <f t="shared" ref="I227" si="301">(E227-E226)/E226</f>
        <v>-0.44800000000000001</v>
      </c>
      <c r="J227" s="30">
        <f t="shared" ref="J227" si="302">E227-E226</f>
        <v>-168</v>
      </c>
      <c r="K227" s="13">
        <f t="shared" ref="K227" si="303">(F227-F175)/F175</f>
        <v>0.36524822695035464</v>
      </c>
      <c r="L227" s="3">
        <f>AVERAGE(F71,F123,F175)</f>
        <v>597.33333333333337</v>
      </c>
    </row>
    <row r="228" spans="1:12" s="15" customFormat="1" ht="14.25" x14ac:dyDescent="0.2">
      <c r="A228" s="21">
        <f t="shared" si="230"/>
        <v>40187</v>
      </c>
      <c r="B228" s="15">
        <f>1+58+3+26</f>
        <v>88</v>
      </c>
      <c r="C228" s="15">
        <f>1+0+1+26</f>
        <v>28</v>
      </c>
      <c r="D228" s="15">
        <f>3+20+5+41</f>
        <v>69</v>
      </c>
      <c r="E228" s="11">
        <f t="shared" si="139"/>
        <v>185</v>
      </c>
      <c r="F228" s="12">
        <v>800</v>
      </c>
      <c r="G228" s="15">
        <f t="shared" ref="G228:G229" si="304">F228-E228</f>
        <v>615</v>
      </c>
      <c r="H228" s="49">
        <f t="shared" ref="H228:H229" si="305">(F228-F227)/F227</f>
        <v>3.896103896103896E-2</v>
      </c>
      <c r="I228" s="57">
        <f t="shared" ref="I228:I229" si="306">(E228-E227)/E227</f>
        <v>-0.10628019323671498</v>
      </c>
      <c r="J228" s="30">
        <f t="shared" ref="J228:J229" si="307">E228-E227</f>
        <v>-22</v>
      </c>
      <c r="K228" s="13">
        <f t="shared" ref="K228:K229" si="308">(F228-F176)/F176</f>
        <v>0.40845070422535212</v>
      </c>
      <c r="L228" s="3">
        <f t="shared" ref="L228:L243" si="309">AVERAGE(F72,F124,F176)</f>
        <v>697</v>
      </c>
    </row>
    <row r="229" spans="1:12" s="15" customFormat="1" ht="14.25" x14ac:dyDescent="0.2">
      <c r="A229" s="21">
        <f t="shared" si="230"/>
        <v>40194</v>
      </c>
      <c r="B229" s="15">
        <f>9+43+0+30</f>
        <v>82</v>
      </c>
      <c r="C229" s="15">
        <f>2+0+1+29</f>
        <v>32</v>
      </c>
      <c r="D229" s="15">
        <f>14+64+0+95</f>
        <v>173</v>
      </c>
      <c r="E229" s="11">
        <f t="shared" si="139"/>
        <v>287</v>
      </c>
      <c r="F229" s="12">
        <v>770</v>
      </c>
      <c r="G229" s="15">
        <f t="shared" si="304"/>
        <v>483</v>
      </c>
      <c r="H229" s="49">
        <f t="shared" si="305"/>
        <v>-3.7499999999999999E-2</v>
      </c>
      <c r="I229" s="57">
        <f t="shared" si="306"/>
        <v>0.55135135135135138</v>
      </c>
      <c r="J229" s="30">
        <f t="shared" si="307"/>
        <v>102</v>
      </c>
      <c r="K229" s="13">
        <f t="shared" si="308"/>
        <v>0.13569321533923304</v>
      </c>
      <c r="L229" s="3">
        <f t="shared" si="309"/>
        <v>677.33333333333337</v>
      </c>
    </row>
    <row r="230" spans="1:12" s="15" customFormat="1" ht="14.25" x14ac:dyDescent="0.2">
      <c r="A230" s="21">
        <f t="shared" si="230"/>
        <v>40201</v>
      </c>
      <c r="B230" s="15">
        <f>3+106+8+92</f>
        <v>209</v>
      </c>
      <c r="C230" s="15">
        <f>1+0+1+24</f>
        <v>26</v>
      </c>
      <c r="D230" s="15">
        <f>13+71+0+86</f>
        <v>170</v>
      </c>
      <c r="E230" s="11">
        <f t="shared" si="139"/>
        <v>405</v>
      </c>
      <c r="F230" s="12">
        <v>671</v>
      </c>
      <c r="G230" s="15">
        <f t="shared" ref="G230" si="310">F230-E230</f>
        <v>266</v>
      </c>
      <c r="H230" s="49">
        <f t="shared" ref="H230" si="311">(F230-F229)/F229</f>
        <v>-0.12857142857142856</v>
      </c>
      <c r="I230" s="57">
        <f t="shared" ref="I230" si="312">(E230-E229)/E229</f>
        <v>0.41114982578397213</v>
      </c>
      <c r="J230" s="30">
        <f t="shared" ref="J230" si="313">E230-E229</f>
        <v>118</v>
      </c>
      <c r="K230" s="13">
        <f t="shared" ref="K230" si="314">(F230-F178)/F178</f>
        <v>-3.3141210374639768E-2</v>
      </c>
      <c r="L230" s="3">
        <f t="shared" si="309"/>
        <v>681</v>
      </c>
    </row>
    <row r="231" spans="1:12" s="15" customFormat="1" ht="14.25" x14ac:dyDescent="0.2">
      <c r="A231" s="21">
        <f t="shared" si="230"/>
        <v>40208</v>
      </c>
      <c r="B231" s="15">
        <f>4+131+0+67</f>
        <v>202</v>
      </c>
      <c r="C231" s="15">
        <f>0+0+5+25</f>
        <v>30</v>
      </c>
      <c r="D231" s="15">
        <f>7+90+0+74</f>
        <v>171</v>
      </c>
      <c r="E231" s="11">
        <f t="shared" si="139"/>
        <v>403</v>
      </c>
      <c r="F231" s="12">
        <v>747</v>
      </c>
      <c r="G231" s="15">
        <f t="shared" ref="G231" si="315">F231-E231</f>
        <v>344</v>
      </c>
      <c r="H231" s="49">
        <f t="shared" ref="H231" si="316">(F231-F230)/F230</f>
        <v>0.11326378539493294</v>
      </c>
      <c r="I231" s="57">
        <f t="shared" ref="I231" si="317">(E231-E230)/E230</f>
        <v>-4.9382716049382715E-3</v>
      </c>
      <c r="J231" s="30">
        <f t="shared" ref="J231" si="318">E231-E230</f>
        <v>-2</v>
      </c>
      <c r="K231" s="13">
        <f t="shared" ref="K231" si="319">(F231-F179)/F179</f>
        <v>0.17452830188679244</v>
      </c>
      <c r="L231" s="3">
        <f t="shared" si="309"/>
        <v>698.33333333333337</v>
      </c>
    </row>
    <row r="232" spans="1:12" s="15" customFormat="1" ht="14.25" x14ac:dyDescent="0.2">
      <c r="A232" s="21">
        <f t="shared" si="230"/>
        <v>40215</v>
      </c>
      <c r="B232" s="15">
        <f>26+102+5+67</f>
        <v>200</v>
      </c>
      <c r="C232" s="15">
        <f>0+0+9+42</f>
        <v>51</v>
      </c>
      <c r="D232" s="15">
        <f>2+96+0+92</f>
        <v>190</v>
      </c>
      <c r="E232" s="11">
        <f t="shared" si="139"/>
        <v>441</v>
      </c>
      <c r="F232" s="12">
        <v>658</v>
      </c>
      <c r="G232" s="15">
        <f t="shared" ref="G232" si="320">F232-E232</f>
        <v>217</v>
      </c>
      <c r="H232" s="49">
        <f t="shared" ref="H232" si="321">(F232-F231)/F231</f>
        <v>-0.11914323962516733</v>
      </c>
      <c r="I232" s="57">
        <f t="shared" ref="I232" si="322">(E232-E231)/E231</f>
        <v>9.4292803970223327E-2</v>
      </c>
      <c r="J232" s="30">
        <f t="shared" ref="J232" si="323">E232-E231</f>
        <v>38</v>
      </c>
      <c r="K232" s="13">
        <f t="shared" ref="K232" si="324">(F232-F180)/F180</f>
        <v>-4.2212518195050945E-2</v>
      </c>
      <c r="L232" s="3">
        <f t="shared" si="309"/>
        <v>731.66666666666663</v>
      </c>
    </row>
    <row r="233" spans="1:12" s="15" customFormat="1" ht="14.25" x14ac:dyDescent="0.2">
      <c r="A233" s="21">
        <f t="shared" si="230"/>
        <v>40222</v>
      </c>
      <c r="B233" s="15">
        <f>10+122+0+84</f>
        <v>216</v>
      </c>
      <c r="C233" s="15">
        <f>3+0+5+33</f>
        <v>41</v>
      </c>
      <c r="D233" s="15">
        <f>2+99+0+60</f>
        <v>161</v>
      </c>
      <c r="E233" s="11">
        <f t="shared" si="139"/>
        <v>418</v>
      </c>
      <c r="F233" s="12">
        <v>598</v>
      </c>
      <c r="G233" s="15">
        <f t="shared" ref="G233" si="325">F233-E233</f>
        <v>180</v>
      </c>
      <c r="H233" s="49">
        <f t="shared" ref="H233" si="326">(F233-F232)/F232</f>
        <v>-9.1185410334346503E-2</v>
      </c>
      <c r="I233" s="57">
        <f t="shared" ref="I233" si="327">(E233-E232)/E232</f>
        <v>-5.2154195011337869E-2</v>
      </c>
      <c r="J233" s="30">
        <f t="shared" ref="J233" si="328">E233-E232</f>
        <v>-23</v>
      </c>
      <c r="K233" s="13">
        <f t="shared" ref="K233" si="329">(F233-F181)/F181</f>
        <v>-7.4303405572755415E-2</v>
      </c>
      <c r="L233" s="3">
        <f t="shared" si="309"/>
        <v>774.33333333333337</v>
      </c>
    </row>
    <row r="234" spans="1:12" s="15" customFormat="1" ht="14.25" x14ac:dyDescent="0.2">
      <c r="A234" s="21">
        <f t="shared" si="230"/>
        <v>40229</v>
      </c>
      <c r="B234" s="15">
        <f>2+102+0+59</f>
        <v>163</v>
      </c>
      <c r="C234" s="15">
        <f>3+0+6+26</f>
        <v>35</v>
      </c>
      <c r="D234" s="15">
        <f>0+96+0+51</f>
        <v>147</v>
      </c>
      <c r="E234" s="11">
        <f t="shared" si="139"/>
        <v>345</v>
      </c>
      <c r="F234" s="12">
        <v>708</v>
      </c>
      <c r="G234" s="15">
        <f t="shared" ref="G234" si="330">F234-E234</f>
        <v>363</v>
      </c>
      <c r="H234" s="49">
        <f t="shared" ref="H234" si="331">(F234-F233)/F233</f>
        <v>0.18394648829431437</v>
      </c>
      <c r="I234" s="57">
        <f t="shared" ref="I234" si="332">(E234-E233)/E233</f>
        <v>-0.17464114832535885</v>
      </c>
      <c r="J234" s="30">
        <f t="shared" ref="J234" si="333">E234-E233</f>
        <v>-73</v>
      </c>
      <c r="K234" s="13">
        <f t="shared" ref="K234" si="334">(F234-F182)/F182</f>
        <v>0.26203208556149732</v>
      </c>
      <c r="L234" s="3">
        <f t="shared" si="309"/>
        <v>647</v>
      </c>
    </row>
    <row r="235" spans="1:12" s="15" customFormat="1" ht="14.25" x14ac:dyDescent="0.2">
      <c r="A235" s="21">
        <f t="shared" si="230"/>
        <v>40236</v>
      </c>
      <c r="B235" s="15">
        <f>2+159+0+78</f>
        <v>239</v>
      </c>
      <c r="C235" s="15">
        <f>1+0+1+29</f>
        <v>31</v>
      </c>
      <c r="D235" s="15">
        <f>1+79+1+20</f>
        <v>101</v>
      </c>
      <c r="E235" s="11">
        <f t="shared" si="139"/>
        <v>371</v>
      </c>
      <c r="F235" s="12">
        <v>759</v>
      </c>
      <c r="G235" s="15">
        <f t="shared" ref="G235" si="335">F235-E235</f>
        <v>388</v>
      </c>
      <c r="H235" s="49">
        <f t="shared" ref="H235" si="336">(F235-F234)/F234</f>
        <v>7.2033898305084748E-2</v>
      </c>
      <c r="I235" s="57">
        <f t="shared" ref="I235" si="337">(E235-E234)/E234</f>
        <v>7.5362318840579715E-2</v>
      </c>
      <c r="J235" s="30">
        <f t="shared" ref="J235" si="338">E235-E234</f>
        <v>26</v>
      </c>
      <c r="K235" s="13">
        <f t="shared" ref="K235" si="339">(F235-F183)/F183</f>
        <v>0.49704142011834318</v>
      </c>
      <c r="L235" s="3">
        <f t="shared" si="309"/>
        <v>622.66666666666663</v>
      </c>
    </row>
    <row r="236" spans="1:12" s="15" customFormat="1" ht="14.25" x14ac:dyDescent="0.2">
      <c r="A236" s="21">
        <f t="shared" si="230"/>
        <v>40243</v>
      </c>
      <c r="B236" s="15">
        <f>4+258+0+74</f>
        <v>336</v>
      </c>
      <c r="C236" s="15">
        <f>2+0+5+29</f>
        <v>36</v>
      </c>
      <c r="D236" s="15">
        <f>0+78+0+30</f>
        <v>108</v>
      </c>
      <c r="E236" s="11">
        <f t="shared" si="139"/>
        <v>480</v>
      </c>
      <c r="F236" s="12">
        <v>577</v>
      </c>
      <c r="G236" s="15">
        <f t="shared" ref="G236" si="340">F236-E236</f>
        <v>97</v>
      </c>
      <c r="H236" s="49">
        <f t="shared" ref="H236" si="341">(F236-F235)/F235</f>
        <v>-0.23978919631093545</v>
      </c>
      <c r="I236" s="57">
        <f t="shared" ref="I236" si="342">(E236-E235)/E235</f>
        <v>0.29380053908355797</v>
      </c>
      <c r="J236" s="30">
        <f t="shared" ref="J236" si="343">E236-E235</f>
        <v>109</v>
      </c>
      <c r="K236" s="13">
        <f t="shared" ref="K236" si="344">(F236-F184)/F184</f>
        <v>-1.3675213675213675E-2</v>
      </c>
      <c r="L236" s="3">
        <f t="shared" si="309"/>
        <v>649.33333333333337</v>
      </c>
    </row>
    <row r="237" spans="1:12" s="15" customFormat="1" ht="14.25" x14ac:dyDescent="0.2">
      <c r="A237" s="21">
        <f t="shared" si="230"/>
        <v>40250</v>
      </c>
      <c r="B237" s="15">
        <f>2+250+0+44</f>
        <v>296</v>
      </c>
      <c r="C237" s="15">
        <f>4+0+3+24</f>
        <v>31</v>
      </c>
      <c r="D237" s="15">
        <f>3+164+0+51</f>
        <v>218</v>
      </c>
      <c r="E237" s="11">
        <f t="shared" si="139"/>
        <v>545</v>
      </c>
      <c r="F237" s="12">
        <v>583</v>
      </c>
      <c r="G237" s="15">
        <f t="shared" ref="G237" si="345">F237-E237</f>
        <v>38</v>
      </c>
      <c r="H237" s="49">
        <f t="shared" ref="H237" si="346">(F237-F236)/F236</f>
        <v>1.0398613518197574E-2</v>
      </c>
      <c r="I237" s="57">
        <f t="shared" ref="I237" si="347">(E237-E236)/E236</f>
        <v>0.13541666666666666</v>
      </c>
      <c r="J237" s="30">
        <f t="shared" ref="J237" si="348">E237-E236</f>
        <v>65</v>
      </c>
      <c r="K237" s="13">
        <f t="shared" ref="K237" si="349">(F237-F185)/F185</f>
        <v>3.5523978685612786E-2</v>
      </c>
      <c r="L237" s="3">
        <f t="shared" si="309"/>
        <v>598.33333333333337</v>
      </c>
    </row>
    <row r="238" spans="1:12" s="15" customFormat="1" ht="14.25" x14ac:dyDescent="0.2">
      <c r="A238" s="21">
        <f t="shared" si="230"/>
        <v>40257</v>
      </c>
      <c r="B238" s="15">
        <f>1+84+0+37</f>
        <v>122</v>
      </c>
      <c r="C238" s="15">
        <f>6+0+8+9</f>
        <v>23</v>
      </c>
      <c r="D238" s="15">
        <f>5+109+1+33</f>
        <v>148</v>
      </c>
      <c r="E238" s="11">
        <f t="shared" si="139"/>
        <v>293</v>
      </c>
      <c r="F238" s="12">
        <v>725</v>
      </c>
      <c r="G238" s="15">
        <f t="shared" ref="G238" si="350">F238-E238</f>
        <v>432</v>
      </c>
      <c r="H238" s="49">
        <f t="shared" ref="H238" si="351">(F238-F237)/F237</f>
        <v>0.24356775300171526</v>
      </c>
      <c r="I238" s="57">
        <f t="shared" ref="I238" si="352">(E238-E237)/E237</f>
        <v>-0.46238532110091746</v>
      </c>
      <c r="J238" s="30">
        <f t="shared" ref="J238" si="353">E238-E237</f>
        <v>-252</v>
      </c>
      <c r="K238" s="13">
        <f t="shared" ref="K238" si="354">(F238-F186)/F186</f>
        <v>0.25649913344887348</v>
      </c>
      <c r="L238" s="3">
        <f t="shared" si="309"/>
        <v>572.66666666666663</v>
      </c>
    </row>
    <row r="239" spans="1:12" s="15" customFormat="1" ht="14.25" x14ac:dyDescent="0.2">
      <c r="A239" s="21">
        <f t="shared" si="230"/>
        <v>40264</v>
      </c>
      <c r="B239" s="15">
        <f>3+105+0+42</f>
        <v>150</v>
      </c>
      <c r="C239" s="15">
        <f>6+0+10+17</f>
        <v>33</v>
      </c>
      <c r="D239" s="15">
        <f>3+105+0+38</f>
        <v>146</v>
      </c>
      <c r="E239" s="11">
        <f t="shared" si="139"/>
        <v>329</v>
      </c>
      <c r="F239" s="12">
        <v>621</v>
      </c>
      <c r="G239" s="15">
        <f t="shared" ref="G239" si="355">F239-E239</f>
        <v>292</v>
      </c>
      <c r="H239" s="49">
        <f t="shared" ref="H239" si="356">(F239-F238)/F238</f>
        <v>-0.14344827586206896</v>
      </c>
      <c r="I239" s="57">
        <f t="shared" ref="I239" si="357">(E239-E238)/E238</f>
        <v>0.12286689419795221</v>
      </c>
      <c r="J239" s="30">
        <f t="shared" ref="J239" si="358">E239-E238</f>
        <v>36</v>
      </c>
      <c r="K239" s="13">
        <f t="shared" ref="K239" si="359">(F239-F187)/F187</f>
        <v>-3.1201248049921998E-2</v>
      </c>
      <c r="L239" s="3">
        <f t="shared" si="309"/>
        <v>540</v>
      </c>
    </row>
    <row r="240" spans="1:12" s="15" customFormat="1" ht="14.25" x14ac:dyDescent="0.2">
      <c r="A240" s="21">
        <f t="shared" si="230"/>
        <v>40271</v>
      </c>
      <c r="B240" s="15">
        <f>0+173+0+46</f>
        <v>219</v>
      </c>
      <c r="C240" s="15">
        <f>8+2+4+14</f>
        <v>28</v>
      </c>
      <c r="D240" s="15">
        <f>5+60+0+30</f>
        <v>95</v>
      </c>
      <c r="E240" s="11">
        <f t="shared" si="139"/>
        <v>342</v>
      </c>
      <c r="F240" s="12">
        <v>425</v>
      </c>
      <c r="G240" s="15">
        <f t="shared" ref="G240" si="360">F240-E240</f>
        <v>83</v>
      </c>
      <c r="H240" s="49">
        <f t="shared" ref="H240" si="361">(F240-F239)/F239</f>
        <v>-0.31561996779388085</v>
      </c>
      <c r="I240" s="57">
        <f t="shared" ref="I240" si="362">(E240-E239)/E239</f>
        <v>3.9513677811550151E-2</v>
      </c>
      <c r="J240" s="30">
        <f t="shared" ref="J240" si="363">E240-E239</f>
        <v>13</v>
      </c>
      <c r="K240" s="13">
        <f t="shared" ref="K240" si="364">(F240-F188)/F188</f>
        <v>-0.35897435897435898</v>
      </c>
      <c r="L240" s="3">
        <f t="shared" si="309"/>
        <v>484</v>
      </c>
    </row>
    <row r="241" spans="1:12" s="15" customFormat="1" ht="14.25" x14ac:dyDescent="0.2">
      <c r="A241" s="21">
        <f t="shared" si="230"/>
        <v>40278</v>
      </c>
      <c r="B241" s="15">
        <f>0+121+0+27</f>
        <v>148</v>
      </c>
      <c r="C241" s="15">
        <f>12+0+2+11</f>
        <v>25</v>
      </c>
      <c r="D241" s="15">
        <f>1+94+0+22</f>
        <v>117</v>
      </c>
      <c r="E241" s="11">
        <f t="shared" si="139"/>
        <v>290</v>
      </c>
      <c r="F241" s="12">
        <v>392</v>
      </c>
      <c r="G241" s="15">
        <f t="shared" ref="G241" si="365">F241-E241</f>
        <v>102</v>
      </c>
      <c r="H241" s="49">
        <f t="shared" ref="H241" si="366">(F241-F240)/F240</f>
        <v>-7.7647058823529416E-2</v>
      </c>
      <c r="I241" s="57">
        <f t="shared" ref="I241" si="367">(E241-E240)/E240</f>
        <v>-0.15204678362573099</v>
      </c>
      <c r="J241" s="30">
        <f t="shared" ref="J241" si="368">E241-E240</f>
        <v>-52</v>
      </c>
      <c r="K241" s="13">
        <f t="shared" ref="K241" si="369">(F241-F189)/F189</f>
        <v>-0.40963855421686746</v>
      </c>
      <c r="L241" s="3">
        <f t="shared" si="309"/>
        <v>504</v>
      </c>
    </row>
    <row r="242" spans="1:12" s="15" customFormat="1" ht="14.25" x14ac:dyDescent="0.2">
      <c r="A242" s="21">
        <f t="shared" si="230"/>
        <v>40285</v>
      </c>
      <c r="B242" s="15">
        <f>5+183+0+42</f>
        <v>230</v>
      </c>
      <c r="C242" s="15">
        <f>4+0+3+4</f>
        <v>11</v>
      </c>
      <c r="D242" s="15">
        <f>1+60+0+19</f>
        <v>80</v>
      </c>
      <c r="E242" s="11">
        <f t="shared" si="139"/>
        <v>321</v>
      </c>
      <c r="F242" s="12">
        <v>461</v>
      </c>
      <c r="G242" s="15">
        <f t="shared" ref="G242" si="370">F242-E242</f>
        <v>140</v>
      </c>
      <c r="H242" s="49">
        <f t="shared" ref="H242" si="371">(F242-F241)/F241</f>
        <v>0.17602040816326531</v>
      </c>
      <c r="I242" s="57">
        <f t="shared" ref="I242" si="372">(E242-E241)/E241</f>
        <v>0.10689655172413794</v>
      </c>
      <c r="J242" s="30">
        <f t="shared" ref="J242" si="373">E242-E241</f>
        <v>31</v>
      </c>
      <c r="K242" s="13">
        <f t="shared" ref="K242" si="374">(F242-F190)/F190</f>
        <v>-0.26003210272873195</v>
      </c>
      <c r="L242" s="3">
        <f t="shared" si="309"/>
        <v>534</v>
      </c>
    </row>
    <row r="243" spans="1:12" s="15" customFormat="1" ht="14.25" x14ac:dyDescent="0.2">
      <c r="A243" s="21">
        <f t="shared" si="230"/>
        <v>40292</v>
      </c>
      <c r="B243" s="15">
        <f>15+268+0+36</f>
        <v>319</v>
      </c>
      <c r="C243" s="15">
        <f>11+0+5+0</f>
        <v>16</v>
      </c>
      <c r="D243" s="15">
        <f>1+37+2+13</f>
        <v>53</v>
      </c>
      <c r="E243" s="11">
        <f t="shared" si="139"/>
        <v>388</v>
      </c>
      <c r="F243" s="12">
        <v>320</v>
      </c>
      <c r="G243" s="15">
        <f t="shared" ref="G243" si="375">F243-E243</f>
        <v>-68</v>
      </c>
      <c r="H243" s="49">
        <f t="shared" ref="H243" si="376">(F243-F242)/F242</f>
        <v>-0.30585683297180044</v>
      </c>
      <c r="I243" s="57">
        <f t="shared" ref="I243" si="377">(E243-E242)/E242</f>
        <v>0.2087227414330218</v>
      </c>
      <c r="J243" s="30">
        <f t="shared" ref="J243" si="378">E243-E242</f>
        <v>67</v>
      </c>
      <c r="K243" s="13">
        <f t="shared" ref="K243" si="379">(F243-F191)/F191</f>
        <v>-0.1731266149870801</v>
      </c>
      <c r="L243" s="3">
        <f t="shared" si="309"/>
        <v>428.33333333333331</v>
      </c>
    </row>
    <row r="244" spans="1:12" s="15" customFormat="1" ht="14.25" x14ac:dyDescent="0.2">
      <c r="A244" s="21">
        <f t="shared" si="230"/>
        <v>40299</v>
      </c>
      <c r="B244" s="15">
        <f>5+216+0+39</f>
        <v>260</v>
      </c>
      <c r="C244" s="15">
        <f>4+2+3+4</f>
        <v>13</v>
      </c>
      <c r="D244" s="15">
        <f>2+35+0+17</f>
        <v>54</v>
      </c>
      <c r="E244" s="11">
        <f t="shared" si="139"/>
        <v>327</v>
      </c>
      <c r="F244" s="12">
        <v>305</v>
      </c>
      <c r="G244" s="15">
        <f t="shared" ref="G244" si="380">F244-E244</f>
        <v>-22</v>
      </c>
      <c r="H244" s="49">
        <f t="shared" ref="H244" si="381">(F244-F243)/F243</f>
        <v>-4.6875E-2</v>
      </c>
      <c r="I244" s="57">
        <f t="shared" ref="I244" si="382">(E244-E243)/E243</f>
        <v>-0.15721649484536082</v>
      </c>
      <c r="J244" s="30">
        <f t="shared" ref="J244" si="383">E244-E243</f>
        <v>-61</v>
      </c>
      <c r="K244" s="13">
        <f t="shared" ref="K244" si="384">(F244-F192)/F192</f>
        <v>-0.47322970639032813</v>
      </c>
      <c r="L244" s="3">
        <f t="shared" ref="L244" si="385">AVERAGE(F88,F140,F192)</f>
        <v>495</v>
      </c>
    </row>
    <row r="245" spans="1:12" s="15" customFormat="1" ht="14.25" x14ac:dyDescent="0.2">
      <c r="A245" s="21">
        <f t="shared" si="230"/>
        <v>40306</v>
      </c>
      <c r="B245" s="15">
        <f>5+343+9+84</f>
        <v>441</v>
      </c>
      <c r="C245" s="15">
        <f>10+0+2+7</f>
        <v>19</v>
      </c>
      <c r="D245" s="15">
        <f>4+72+0+19</f>
        <v>95</v>
      </c>
      <c r="E245" s="11">
        <f t="shared" si="139"/>
        <v>555</v>
      </c>
      <c r="F245" s="12">
        <v>469</v>
      </c>
      <c r="G245" s="15">
        <f t="shared" ref="G245" si="386">F245-E245</f>
        <v>-86</v>
      </c>
      <c r="H245" s="49">
        <f t="shared" ref="H245" si="387">(F245-F244)/F244</f>
        <v>0.53770491803278686</v>
      </c>
      <c r="I245" s="57">
        <f t="shared" ref="I245" si="388">(E245-E244)/E244</f>
        <v>0.69724770642201839</v>
      </c>
      <c r="J245" s="30">
        <f t="shared" ref="J245" si="389">E245-E244</f>
        <v>228</v>
      </c>
      <c r="K245" s="13">
        <f t="shared" ref="K245" si="390">(F245-F193)/F193</f>
        <v>-0.24110032362459546</v>
      </c>
      <c r="L245" s="3">
        <f t="shared" ref="L245" si="391">AVERAGE(F89,F141,F193)</f>
        <v>431</v>
      </c>
    </row>
    <row r="246" spans="1:12" s="15" customFormat="1" ht="14.25" x14ac:dyDescent="0.2">
      <c r="A246" s="21">
        <f t="shared" si="230"/>
        <v>40313</v>
      </c>
      <c r="B246" s="15">
        <f>11+369+2+63</f>
        <v>445</v>
      </c>
      <c r="C246" s="15">
        <f>10+0+4+2</f>
        <v>16</v>
      </c>
      <c r="D246" s="15">
        <f>1+57+0+9</f>
        <v>67</v>
      </c>
      <c r="E246" s="11">
        <f t="shared" si="139"/>
        <v>528</v>
      </c>
      <c r="F246" s="12">
        <v>523</v>
      </c>
      <c r="G246" s="15">
        <f t="shared" ref="G246" si="392">F246-E246</f>
        <v>-5</v>
      </c>
      <c r="H246" s="49">
        <f t="shared" ref="H246" si="393">(F246-F245)/F245</f>
        <v>0.11513859275053305</v>
      </c>
      <c r="I246" s="57">
        <f t="shared" ref="I246" si="394">(E246-E245)/E245</f>
        <v>-4.8648648648648651E-2</v>
      </c>
      <c r="J246" s="30">
        <f t="shared" ref="J246" si="395">E246-E245</f>
        <v>-27</v>
      </c>
      <c r="K246" s="13">
        <f t="shared" ref="K246" si="396">(F246-F194)/F194</f>
        <v>-0.10902896081771721</v>
      </c>
      <c r="L246" s="3">
        <f t="shared" ref="L246" si="397">AVERAGE(F90,F142,F194)</f>
        <v>409</v>
      </c>
    </row>
    <row r="247" spans="1:12" s="15" customFormat="1" ht="14.25" x14ac:dyDescent="0.2">
      <c r="A247" s="21">
        <f t="shared" si="230"/>
        <v>40320</v>
      </c>
      <c r="B247" s="15">
        <f>4+341+0+62</f>
        <v>407</v>
      </c>
      <c r="C247" s="15">
        <f>5+0+9+7</f>
        <v>21</v>
      </c>
      <c r="D247" s="15">
        <f>4+40+0+10</f>
        <v>54</v>
      </c>
      <c r="E247" s="11">
        <f t="shared" si="139"/>
        <v>482</v>
      </c>
      <c r="F247" s="12">
        <v>513</v>
      </c>
      <c r="G247" s="15">
        <f t="shared" ref="G247:G248" si="398">F247-E247</f>
        <v>31</v>
      </c>
      <c r="H247" s="49">
        <f t="shared" ref="H247:H248" si="399">(F247-F246)/F246</f>
        <v>-1.9120458891013385E-2</v>
      </c>
      <c r="I247" s="57">
        <f t="shared" ref="I247:I248" si="400">(E247-E246)/E246</f>
        <v>-8.7121212121212127E-2</v>
      </c>
      <c r="J247" s="30">
        <f t="shared" ref="J247:J248" si="401">E247-E246</f>
        <v>-46</v>
      </c>
      <c r="K247" s="13">
        <f t="shared" ref="K247" si="402">(F247-F195)/F195</f>
        <v>6.8750000000000006E-2</v>
      </c>
      <c r="L247" s="3">
        <f t="shared" ref="L247" si="403">AVERAGE(F91,F143,F195)</f>
        <v>456.66666666666669</v>
      </c>
    </row>
    <row r="248" spans="1:12" s="15" customFormat="1" ht="14.25" x14ac:dyDescent="0.2">
      <c r="A248" s="21">
        <f t="shared" si="230"/>
        <v>40327</v>
      </c>
      <c r="B248" s="15">
        <f>6+458+1+34</f>
        <v>499</v>
      </c>
      <c r="C248" s="15">
        <f>2+0+8+7</f>
        <v>17</v>
      </c>
      <c r="D248" s="15">
        <f>2+45+0+15</f>
        <v>62</v>
      </c>
      <c r="E248" s="11">
        <f t="shared" si="139"/>
        <v>578</v>
      </c>
      <c r="F248" s="12">
        <v>504</v>
      </c>
      <c r="G248" s="15">
        <f t="shared" si="398"/>
        <v>-74</v>
      </c>
      <c r="H248" s="49">
        <f t="shared" si="399"/>
        <v>-1.7543859649122806E-2</v>
      </c>
      <c r="I248" s="57">
        <f t="shared" si="400"/>
        <v>0.19917012448132779</v>
      </c>
      <c r="J248" s="30">
        <f t="shared" si="401"/>
        <v>96</v>
      </c>
      <c r="K248" s="13">
        <f t="shared" ref="K248" si="404">(F248-F196)/F196</f>
        <v>-6.839186691312385E-2</v>
      </c>
      <c r="L248" s="3">
        <f t="shared" ref="L248" si="405">AVERAGE(F92,F144,F196)</f>
        <v>469</v>
      </c>
    </row>
    <row r="249" spans="1:12" s="15" customFormat="1" ht="14.25" x14ac:dyDescent="0.2">
      <c r="A249" s="21">
        <f t="shared" si="230"/>
        <v>40334</v>
      </c>
      <c r="B249" s="15">
        <f>4+351+0+43</f>
        <v>398</v>
      </c>
      <c r="C249" s="15">
        <f>6+0+8+5</f>
        <v>19</v>
      </c>
      <c r="D249" s="15">
        <f>1+63+0+21</f>
        <v>85</v>
      </c>
      <c r="E249" s="11">
        <f t="shared" si="139"/>
        <v>502</v>
      </c>
      <c r="F249" s="12">
        <v>549</v>
      </c>
      <c r="G249" s="15">
        <f t="shared" ref="G249:G250" si="406">F249-E249</f>
        <v>47</v>
      </c>
      <c r="H249" s="49">
        <f t="shared" ref="H249" si="407">(F249-F248)/F248</f>
        <v>8.9285714285714288E-2</v>
      </c>
      <c r="I249" s="57">
        <f t="shared" ref="I249" si="408">(E249-E248)/E248</f>
        <v>-0.13148788927335639</v>
      </c>
      <c r="J249" s="30">
        <f t="shared" ref="J249" si="409">E249-E248</f>
        <v>-76</v>
      </c>
      <c r="K249" s="13">
        <f t="shared" ref="K249" si="410">(F249-F197)/F197</f>
        <v>2.6168224299065422E-2</v>
      </c>
      <c r="L249" s="3">
        <f t="shared" ref="L249" si="411">AVERAGE(F93,F145,F197)</f>
        <v>485.33333333333331</v>
      </c>
    </row>
    <row r="250" spans="1:12" s="15" customFormat="1" ht="14.25" x14ac:dyDescent="0.2">
      <c r="A250" s="21">
        <f t="shared" si="230"/>
        <v>40341</v>
      </c>
      <c r="B250" s="15">
        <f>9+375+3+61</f>
        <v>448</v>
      </c>
      <c r="C250" s="15">
        <f>8+0+1+8</f>
        <v>17</v>
      </c>
      <c r="D250" s="15">
        <f>2+16+3+7</f>
        <v>28</v>
      </c>
      <c r="E250" s="11">
        <f t="shared" si="139"/>
        <v>493</v>
      </c>
      <c r="F250" s="12">
        <v>466</v>
      </c>
      <c r="G250" s="15">
        <f t="shared" si="406"/>
        <v>-27</v>
      </c>
      <c r="H250" s="49">
        <f t="shared" ref="H250" si="412">(F250-F249)/F249</f>
        <v>-0.151183970856102</v>
      </c>
      <c r="I250" s="57">
        <f t="shared" ref="I250" si="413">(E250-E249)/E249</f>
        <v>-1.7928286852589643E-2</v>
      </c>
      <c r="J250" s="30">
        <f t="shared" ref="J250" si="414">E250-E249</f>
        <v>-9</v>
      </c>
      <c r="K250" s="13">
        <f t="shared" ref="K250" si="415">(F250-F198)/F198</f>
        <v>-0.28746177370030579</v>
      </c>
      <c r="L250" s="3">
        <f t="shared" ref="L250" si="416">AVERAGE(F94,F146,F198)</f>
        <v>567</v>
      </c>
    </row>
    <row r="251" spans="1:12" ht="14.25" x14ac:dyDescent="0.2">
      <c r="A251" s="21">
        <f t="shared" si="230"/>
        <v>40348</v>
      </c>
      <c r="B251" s="3">
        <f>9+376+0+65</f>
        <v>450</v>
      </c>
      <c r="C251" s="3">
        <f>12+0+11+3</f>
        <v>26</v>
      </c>
      <c r="D251" s="3">
        <f>3+27+1+17</f>
        <v>48</v>
      </c>
      <c r="E251" s="11">
        <f t="shared" si="139"/>
        <v>524</v>
      </c>
      <c r="F251" s="12">
        <v>457</v>
      </c>
      <c r="G251" s="15">
        <f t="shared" ref="G251" si="417">F251-E251</f>
        <v>-67</v>
      </c>
      <c r="H251" s="49">
        <f t="shared" ref="H251" si="418">(F251-F250)/F250</f>
        <v>-1.9313304721030045E-2</v>
      </c>
      <c r="I251" s="57">
        <f t="shared" ref="I251" si="419">(E251-E250)/E250</f>
        <v>6.2880324543610547E-2</v>
      </c>
      <c r="J251" s="30">
        <f t="shared" ref="J251" si="420">E251-E250</f>
        <v>31</v>
      </c>
      <c r="K251" s="13">
        <f t="shared" ref="K251" si="421">(F251-F199)/F199</f>
        <v>-0.27229299363057324</v>
      </c>
      <c r="L251" s="3">
        <f t="shared" ref="L251" si="422">AVERAGE(F95,F147,F199)</f>
        <v>555.33333333333337</v>
      </c>
    </row>
    <row r="252" spans="1:12" ht="14.25" x14ac:dyDescent="0.2">
      <c r="A252" s="21">
        <f t="shared" si="230"/>
        <v>40355</v>
      </c>
      <c r="B252" s="3">
        <f>4+348+1+29</f>
        <v>382</v>
      </c>
      <c r="C252" s="3">
        <f>20+0+2+11</f>
        <v>33</v>
      </c>
      <c r="D252" s="3">
        <f>4+17+0+6</f>
        <v>27</v>
      </c>
      <c r="E252" s="11">
        <f t="shared" si="139"/>
        <v>442</v>
      </c>
      <c r="F252" s="12">
        <v>494</v>
      </c>
      <c r="G252" s="15">
        <f t="shared" ref="G252" si="423">F252-E252</f>
        <v>52</v>
      </c>
      <c r="H252" s="49">
        <f t="shared" ref="H252" si="424">(F252-F251)/F251</f>
        <v>8.0962800875273522E-2</v>
      </c>
      <c r="I252" s="57">
        <f t="shared" ref="I252" si="425">(E252-E251)/E251</f>
        <v>-0.15648854961832062</v>
      </c>
      <c r="J252" s="30">
        <f t="shared" ref="J252" si="426">E252-E251</f>
        <v>-82</v>
      </c>
      <c r="K252" s="13">
        <f t="shared" ref="K252" si="427">(F252-F200)/F200</f>
        <v>-0.11469534050179211</v>
      </c>
      <c r="L252" s="3">
        <f t="shared" ref="L252" si="428">AVERAGE(F96,F148,F200)</f>
        <v>499.66666666666669</v>
      </c>
    </row>
    <row r="253" spans="1:12" ht="14.25" x14ac:dyDescent="0.2">
      <c r="A253" s="21">
        <f t="shared" si="230"/>
        <v>40362</v>
      </c>
      <c r="B253" s="3">
        <f>0+356+1+87</f>
        <v>444</v>
      </c>
      <c r="C253" s="3">
        <f>14+0+8+8</f>
        <v>30</v>
      </c>
      <c r="D253" s="3">
        <f>3+26+0+7</f>
        <v>36</v>
      </c>
      <c r="E253" s="11">
        <f t="shared" ref="E253:E292" si="429">SUM(B253:D253)</f>
        <v>510</v>
      </c>
      <c r="F253" s="12">
        <v>453</v>
      </c>
      <c r="G253" s="15">
        <f t="shared" ref="G253" si="430">F253-E253</f>
        <v>-57</v>
      </c>
      <c r="H253" s="49">
        <f t="shared" ref="H253" si="431">(F253-F252)/F252</f>
        <v>-8.2995951417004055E-2</v>
      </c>
      <c r="I253" s="57">
        <f t="shared" ref="I253" si="432">(E253-E252)/E252</f>
        <v>0.15384615384615385</v>
      </c>
      <c r="J253" s="30">
        <f t="shared" ref="J253" si="433">E253-E252</f>
        <v>68</v>
      </c>
      <c r="K253" s="13">
        <f t="shared" ref="K253" si="434">(F253-F201)/F201</f>
        <v>-0.25493421052631576</v>
      </c>
      <c r="L253" s="3">
        <f t="shared" ref="L253" si="435">AVERAGE(F97,F149,F201)</f>
        <v>446.33333333333331</v>
      </c>
    </row>
    <row r="254" spans="1:12" ht="14.25" x14ac:dyDescent="0.2">
      <c r="A254" s="21">
        <f t="shared" si="230"/>
        <v>40369</v>
      </c>
      <c r="B254" s="3">
        <f>5+312+0+70</f>
        <v>387</v>
      </c>
      <c r="C254" s="3">
        <f>12+1+0+8</f>
        <v>21</v>
      </c>
      <c r="D254" s="3">
        <f>4+21+0+9</f>
        <v>34</v>
      </c>
      <c r="E254" s="11">
        <f t="shared" si="429"/>
        <v>442</v>
      </c>
      <c r="F254" s="12">
        <v>490</v>
      </c>
      <c r="G254" s="15">
        <f t="shared" ref="G254" si="436">F254-E254</f>
        <v>48</v>
      </c>
      <c r="H254" s="49">
        <f t="shared" ref="H254" si="437">(F254-F253)/F253</f>
        <v>8.1677704194260486E-2</v>
      </c>
      <c r="I254" s="57">
        <f t="shared" ref="I254" si="438">(E254-E253)/E253</f>
        <v>-0.13333333333333333</v>
      </c>
      <c r="J254" s="30">
        <f t="shared" ref="J254" si="439">E254-E253</f>
        <v>-68</v>
      </c>
      <c r="K254" s="13">
        <f t="shared" ref="K254" si="440">(F254-F202)/F202</f>
        <v>-0.18333333333333332</v>
      </c>
      <c r="L254" s="3">
        <f t="shared" ref="L254" si="441">AVERAGE(F98,F150,F202)</f>
        <v>521.66666666666663</v>
      </c>
    </row>
    <row r="255" spans="1:12" ht="14.25" x14ac:dyDescent="0.2">
      <c r="A255" s="21">
        <f t="shared" si="230"/>
        <v>40376</v>
      </c>
      <c r="B255" s="3">
        <f>7+388+6+53</f>
        <v>454</v>
      </c>
      <c r="C255" s="3">
        <f>13+0+0+5</f>
        <v>18</v>
      </c>
      <c r="D255" s="3">
        <f>11+23+0+5</f>
        <v>39</v>
      </c>
      <c r="E255" s="11">
        <f t="shared" si="429"/>
        <v>511</v>
      </c>
      <c r="F255" s="12">
        <v>527</v>
      </c>
      <c r="G255" s="15">
        <f t="shared" ref="G255" si="442">F255-E255</f>
        <v>16</v>
      </c>
      <c r="H255" s="49">
        <f t="shared" ref="H255" si="443">(F255-F254)/F254</f>
        <v>7.5510204081632656E-2</v>
      </c>
      <c r="I255" s="57">
        <f t="shared" ref="I255" si="444">(E255-E254)/E254</f>
        <v>0.15610859728506787</v>
      </c>
      <c r="J255" s="30">
        <f t="shared" ref="J255" si="445">E255-E254</f>
        <v>69</v>
      </c>
      <c r="K255" s="13">
        <f t="shared" ref="K255" si="446">(F255-F203)/F203</f>
        <v>-0.11725293132328309</v>
      </c>
      <c r="L255" s="3">
        <f t="shared" ref="L255" si="447">AVERAGE(F99,F151,F203)</f>
        <v>485.66666666666669</v>
      </c>
    </row>
    <row r="256" spans="1:12" ht="14.25" x14ac:dyDescent="0.2">
      <c r="A256" s="21">
        <f t="shared" si="230"/>
        <v>40383</v>
      </c>
      <c r="B256" s="3">
        <f>5+425+6+47</f>
        <v>483</v>
      </c>
      <c r="C256" s="3">
        <f>6+0+0+6</f>
        <v>12</v>
      </c>
      <c r="D256" s="3">
        <f>7+39+0+9</f>
        <v>55</v>
      </c>
      <c r="E256" s="11">
        <f t="shared" si="429"/>
        <v>550</v>
      </c>
      <c r="F256" s="12">
        <v>410</v>
      </c>
      <c r="G256" s="15">
        <f t="shared" ref="G256:G257" si="448">F256-E256</f>
        <v>-140</v>
      </c>
      <c r="H256" s="49">
        <f t="shared" ref="H256" si="449">(F256-F255)/F255</f>
        <v>-0.22201138519924099</v>
      </c>
      <c r="I256" s="57">
        <f t="shared" ref="I256" si="450">(E256-E255)/E255</f>
        <v>7.6320939334637961E-2</v>
      </c>
      <c r="J256" s="30">
        <f t="shared" ref="J256" si="451">E256-E255</f>
        <v>39</v>
      </c>
      <c r="K256" s="13">
        <f t="shared" ref="K256" si="452">(F256-F204)/F204</f>
        <v>-0.39349112426035504</v>
      </c>
      <c r="L256" s="3">
        <f t="shared" ref="L256" si="453">AVERAGE(F100,F152,F204)</f>
        <v>532.33333333333337</v>
      </c>
    </row>
    <row r="257" spans="1:13" ht="14.25" x14ac:dyDescent="0.2">
      <c r="A257" s="21">
        <f t="shared" si="230"/>
        <v>40390</v>
      </c>
      <c r="B257" s="3">
        <f>2+355+0+66+1+95</f>
        <v>519</v>
      </c>
      <c r="C257" s="3">
        <f>17+0+0+10+0+1</f>
        <v>28</v>
      </c>
      <c r="D257" s="3">
        <f>9+49+0+14+2+9</f>
        <v>83</v>
      </c>
      <c r="E257" s="11">
        <f t="shared" si="429"/>
        <v>630</v>
      </c>
      <c r="F257" s="12">
        <v>364</v>
      </c>
      <c r="G257" s="15">
        <f t="shared" si="448"/>
        <v>-266</v>
      </c>
      <c r="H257" s="49">
        <f t="shared" ref="H257" si="454">(F257-F256)/F256</f>
        <v>-0.11219512195121951</v>
      </c>
      <c r="I257" s="57">
        <f t="shared" ref="I257" si="455">(E257-E256)/E256</f>
        <v>0.14545454545454545</v>
      </c>
      <c r="J257" s="30">
        <f t="shared" ref="J257" si="456">E257-E256</f>
        <v>80</v>
      </c>
      <c r="K257" s="13">
        <f t="shared" ref="K257" si="457">(F257-F205)/F205</f>
        <v>-0.24481327800829875</v>
      </c>
      <c r="L257" s="3">
        <f t="shared" ref="L257" si="458">AVERAGE(F101,F153,F205)</f>
        <v>488</v>
      </c>
    </row>
    <row r="258" spans="1:13" ht="14.25" x14ac:dyDescent="0.2">
      <c r="A258" s="21">
        <f t="shared" si="230"/>
        <v>40397</v>
      </c>
      <c r="B258" s="3">
        <f>5+341+0+59</f>
        <v>405</v>
      </c>
      <c r="C258" s="3">
        <f>11+1+3+8</f>
        <v>23</v>
      </c>
      <c r="D258" s="3">
        <f>7+17+2+11</f>
        <v>37</v>
      </c>
      <c r="E258" s="11">
        <f t="shared" si="429"/>
        <v>465</v>
      </c>
      <c r="F258" s="12">
        <v>455</v>
      </c>
      <c r="G258" s="15">
        <f t="shared" ref="G258" si="459">F258-E258</f>
        <v>-10</v>
      </c>
      <c r="H258" s="49">
        <f t="shared" ref="H258" si="460">(F258-F257)/F257</f>
        <v>0.25</v>
      </c>
      <c r="I258" s="57">
        <f t="shared" ref="I258" si="461">(E258-E257)/E257</f>
        <v>-0.26190476190476192</v>
      </c>
      <c r="J258" s="30">
        <f t="shared" ref="J258" si="462">E258-E257</f>
        <v>-165</v>
      </c>
      <c r="K258" s="13">
        <f t="shared" ref="K258" si="463">(F258-F206)/F206</f>
        <v>-0.18018018018018017</v>
      </c>
      <c r="L258" s="3">
        <f t="shared" ref="L258" si="464">AVERAGE(F102,F154,F206)</f>
        <v>609</v>
      </c>
    </row>
    <row r="259" spans="1:13" ht="14.25" x14ac:dyDescent="0.2">
      <c r="A259" s="21">
        <f t="shared" si="230"/>
        <v>40404</v>
      </c>
      <c r="B259" s="3">
        <f>3+340+7+59</f>
        <v>409</v>
      </c>
      <c r="C259" s="3">
        <f>13+0+2+3</f>
        <v>18</v>
      </c>
      <c r="D259" s="3">
        <f>9+7+0+3</f>
        <v>19</v>
      </c>
      <c r="E259" s="11">
        <f t="shared" si="429"/>
        <v>446</v>
      </c>
      <c r="F259" s="12">
        <v>506</v>
      </c>
      <c r="G259" s="15">
        <f t="shared" ref="G259" si="465">F259-E259</f>
        <v>60</v>
      </c>
      <c r="H259" s="49">
        <f t="shared" ref="H259" si="466">(F259-F258)/F258</f>
        <v>0.11208791208791209</v>
      </c>
      <c r="I259" s="57">
        <f t="shared" ref="I259" si="467">(E259-E258)/E258</f>
        <v>-4.0860215053763443E-2</v>
      </c>
      <c r="J259" s="30">
        <f t="shared" ref="J259" si="468">E259-E258</f>
        <v>-19</v>
      </c>
      <c r="K259" s="13">
        <f t="shared" ref="K259" si="469">(F259-F207)/F207</f>
        <v>0.10239651416122005</v>
      </c>
      <c r="L259" s="3">
        <f t="shared" ref="L259" si="470">AVERAGE(F103,F155,F207)</f>
        <v>538.66666666666663</v>
      </c>
    </row>
    <row r="260" spans="1:13" ht="14.25" x14ac:dyDescent="0.2">
      <c r="A260" s="21">
        <f t="shared" si="230"/>
        <v>40411</v>
      </c>
      <c r="B260" s="3">
        <f>6+147+3+62</f>
        <v>218</v>
      </c>
      <c r="C260" s="3">
        <f>16+0+1+13</f>
        <v>30</v>
      </c>
      <c r="D260" s="3">
        <f>2+9+0+5</f>
        <v>16</v>
      </c>
      <c r="E260" s="11">
        <f t="shared" si="429"/>
        <v>264</v>
      </c>
      <c r="F260" s="12">
        <v>528</v>
      </c>
      <c r="G260" s="15">
        <f t="shared" ref="G260" si="471">F260-E260</f>
        <v>264</v>
      </c>
      <c r="H260" s="49">
        <f t="shared" ref="H260" si="472">(F260-F259)/F259</f>
        <v>4.3478260869565216E-2</v>
      </c>
      <c r="I260" s="57">
        <f t="shared" ref="I260" si="473">(E260-E259)/E259</f>
        <v>-0.40807174887892378</v>
      </c>
      <c r="J260" s="30">
        <f t="shared" ref="J260" si="474">E260-E259</f>
        <v>-182</v>
      </c>
      <c r="K260" s="13">
        <f t="shared" ref="K260" si="475">(F260-F208)/F208</f>
        <v>-2.9411764705882353E-2</v>
      </c>
      <c r="L260" s="3">
        <f t="shared" ref="L260" si="476">AVERAGE(F104,F156,F208)</f>
        <v>557</v>
      </c>
      <c r="M260" s="29" t="s">
        <v>36</v>
      </c>
    </row>
    <row r="261" spans="1:13" ht="14.25" x14ac:dyDescent="0.2">
      <c r="A261" s="21">
        <f t="shared" si="230"/>
        <v>40418</v>
      </c>
      <c r="B261" s="3">
        <f>5+157+5+21</f>
        <v>188</v>
      </c>
      <c r="C261" s="3">
        <f>16+3+1+4</f>
        <v>24</v>
      </c>
      <c r="D261" s="3">
        <f>5+21+0+12</f>
        <v>38</v>
      </c>
      <c r="E261" s="11">
        <f t="shared" si="429"/>
        <v>250</v>
      </c>
      <c r="F261" s="12">
        <v>450</v>
      </c>
      <c r="G261" s="15">
        <f t="shared" ref="G261" si="477">F261-E261</f>
        <v>200</v>
      </c>
      <c r="H261" s="49">
        <f t="shared" ref="H261" si="478">(F261-F260)/F260</f>
        <v>-0.14772727272727273</v>
      </c>
      <c r="I261" s="57">
        <f t="shared" ref="I261" si="479">(E261-E260)/E260</f>
        <v>-5.3030303030303032E-2</v>
      </c>
      <c r="J261" s="30">
        <f t="shared" ref="J261" si="480">E261-E260</f>
        <v>-14</v>
      </c>
      <c r="K261" s="13">
        <f t="shared" ref="K261" si="481">(F261-F209)/F209</f>
        <v>-0.17279411764705882</v>
      </c>
      <c r="L261" s="3">
        <f t="shared" ref="L261" si="482">AVERAGE(F105,F157,F209)</f>
        <v>518</v>
      </c>
    </row>
    <row r="262" spans="1:13" ht="14.25" x14ac:dyDescent="0.2">
      <c r="A262" s="21">
        <f t="shared" si="230"/>
        <v>40425</v>
      </c>
      <c r="B262" s="3">
        <v>238</v>
      </c>
      <c r="C262" s="3">
        <v>16</v>
      </c>
      <c r="D262" s="3">
        <v>66</v>
      </c>
      <c r="E262" s="11">
        <f t="shared" si="429"/>
        <v>320</v>
      </c>
      <c r="F262" s="12">
        <v>537</v>
      </c>
      <c r="G262" s="15">
        <f t="shared" ref="G262" si="483">F262-E262</f>
        <v>217</v>
      </c>
      <c r="H262" s="49">
        <f t="shared" ref="H262" si="484">(F262-F261)/F261</f>
        <v>0.19333333333333333</v>
      </c>
      <c r="I262" s="57">
        <f t="shared" ref="I262" si="485">(E262-E261)/E261</f>
        <v>0.28000000000000003</v>
      </c>
      <c r="J262" s="30">
        <f t="shared" ref="J262" si="486">E262-E261</f>
        <v>70</v>
      </c>
      <c r="K262" s="13">
        <f t="shared" ref="K262" si="487">(F262-F210)/F210</f>
        <v>-0.11386138613861387</v>
      </c>
      <c r="L262" s="3">
        <f t="shared" ref="L262" si="488">AVERAGE(F106,F158,F210)</f>
        <v>440</v>
      </c>
    </row>
    <row r="263" spans="1:13" ht="14.25" x14ac:dyDescent="0.2">
      <c r="A263" s="21">
        <f t="shared" si="230"/>
        <v>40432</v>
      </c>
      <c r="B263" s="3">
        <f>7+189+4+19</f>
        <v>219</v>
      </c>
      <c r="C263" s="3">
        <f>13+2+9+2</f>
        <v>26</v>
      </c>
      <c r="D263" s="3">
        <f>5+54+0+10</f>
        <v>69</v>
      </c>
      <c r="E263" s="11">
        <f t="shared" si="429"/>
        <v>314</v>
      </c>
      <c r="F263" s="12">
        <v>428</v>
      </c>
      <c r="G263" s="15">
        <f t="shared" ref="G263" si="489">F263-E263</f>
        <v>114</v>
      </c>
      <c r="H263" s="49">
        <f t="shared" ref="H263" si="490">(F263-F262)/F262</f>
        <v>-0.20297951582867785</v>
      </c>
      <c r="I263" s="57">
        <f t="shared" ref="I263" si="491">(E263-E262)/E262</f>
        <v>-1.8749999999999999E-2</v>
      </c>
      <c r="J263" s="30">
        <f t="shared" ref="J263" si="492">E263-E262</f>
        <v>-6</v>
      </c>
      <c r="K263" s="13">
        <f t="shared" ref="K263" si="493">(F263-F211)/F211</f>
        <v>-6.3457330415754923E-2</v>
      </c>
      <c r="L263" s="3">
        <f t="shared" ref="L263" si="494">AVERAGE(F107,F159,F211)</f>
        <v>549.33333333333337</v>
      </c>
    </row>
    <row r="264" spans="1:13" ht="14.25" x14ac:dyDescent="0.2">
      <c r="A264" s="21">
        <f t="shared" si="230"/>
        <v>40439</v>
      </c>
      <c r="B264" s="3">
        <f>9+131+1+15</f>
        <v>156</v>
      </c>
      <c r="C264" s="3">
        <f>11+11+8+9</f>
        <v>39</v>
      </c>
      <c r="D264" s="3">
        <f>1+92+0+6</f>
        <v>99</v>
      </c>
      <c r="E264" s="11">
        <f t="shared" si="429"/>
        <v>294</v>
      </c>
      <c r="F264" s="12">
        <v>547</v>
      </c>
      <c r="G264" s="15">
        <f t="shared" ref="G264" si="495">F264-E264</f>
        <v>253</v>
      </c>
      <c r="H264" s="49">
        <f t="shared" ref="H264" si="496">(F264-F263)/F263</f>
        <v>0.2780373831775701</v>
      </c>
      <c r="I264" s="57">
        <f t="shared" ref="I264" si="497">(E264-E263)/E263</f>
        <v>-6.3694267515923567E-2</v>
      </c>
      <c r="J264" s="30">
        <f t="shared" ref="J264" si="498">E264-E263</f>
        <v>-20</v>
      </c>
      <c r="K264" s="13">
        <f t="shared" ref="K264" si="499">(F264-F212)/F212</f>
        <v>6.4202334630350189E-2</v>
      </c>
      <c r="L264" s="3">
        <f t="shared" ref="L264" si="500">AVERAGE(F108,F160,F212)</f>
        <v>610</v>
      </c>
    </row>
    <row r="265" spans="1:13" ht="14.25" x14ac:dyDescent="0.2">
      <c r="A265" s="21">
        <f t="shared" si="230"/>
        <v>40446</v>
      </c>
      <c r="B265" s="3">
        <f>8+189+0+13</f>
        <v>210</v>
      </c>
      <c r="C265" s="3">
        <f>9+4+1+10</f>
        <v>24</v>
      </c>
      <c r="D265" s="3">
        <f>2+103+0+29</f>
        <v>134</v>
      </c>
      <c r="E265" s="11">
        <f t="shared" si="429"/>
        <v>368</v>
      </c>
      <c r="F265" s="12">
        <v>627</v>
      </c>
      <c r="G265" s="15">
        <f t="shared" ref="G265" si="501">F265-E265</f>
        <v>259</v>
      </c>
      <c r="H265" s="49">
        <f t="shared" ref="H265" si="502">(F265-F264)/F264</f>
        <v>0.14625228519195613</v>
      </c>
      <c r="I265" s="57">
        <f t="shared" ref="I265" si="503">(E265-E264)/E264</f>
        <v>0.25170068027210885</v>
      </c>
      <c r="J265" s="30">
        <f t="shared" ref="J265" si="504">E265-E264</f>
        <v>74</v>
      </c>
      <c r="K265" s="13">
        <f t="shared" ref="K265" si="505">(F265-F213)/F213</f>
        <v>0.13381555153707053</v>
      </c>
      <c r="L265" s="3">
        <f t="shared" ref="L265" si="506">AVERAGE(F109,F161,F213)</f>
        <v>592</v>
      </c>
    </row>
    <row r="266" spans="1:13" ht="14.25" x14ac:dyDescent="0.2">
      <c r="A266" s="21">
        <f t="shared" si="230"/>
        <v>40453</v>
      </c>
      <c r="B266" s="3">
        <f>2+154+2+12</f>
        <v>170</v>
      </c>
      <c r="C266" s="3">
        <f>3+5+7+7</f>
        <v>22</v>
      </c>
      <c r="D266" s="3">
        <f>2+59+0+68</f>
        <v>129</v>
      </c>
      <c r="E266" s="11">
        <f t="shared" si="429"/>
        <v>321</v>
      </c>
      <c r="F266" s="12">
        <v>612</v>
      </c>
      <c r="G266" s="15">
        <f t="shared" ref="G266" si="507">F266-E266</f>
        <v>291</v>
      </c>
      <c r="H266" s="49">
        <f t="shared" ref="H266" si="508">(F266-F265)/F265</f>
        <v>-2.3923444976076555E-2</v>
      </c>
      <c r="I266" s="57">
        <f t="shared" ref="I266" si="509">(E266-E265)/E265</f>
        <v>-0.12771739130434784</v>
      </c>
      <c r="J266" s="30">
        <f t="shared" ref="J266" si="510">E266-E265</f>
        <v>-47</v>
      </c>
      <c r="K266" s="13">
        <f t="shared" ref="K266" si="511">(F266-F214)/F214</f>
        <v>0.37528089887640448</v>
      </c>
      <c r="L266" s="3">
        <f t="shared" ref="L266" si="512">AVERAGE(F110,F162,F214)</f>
        <v>544.33333333333337</v>
      </c>
      <c r="M266" s="29" t="s">
        <v>37</v>
      </c>
    </row>
    <row r="267" spans="1:13" ht="14.25" x14ac:dyDescent="0.2">
      <c r="A267" s="21">
        <f t="shared" si="230"/>
        <v>40460</v>
      </c>
      <c r="B267" s="3">
        <f>9+151+3+73</f>
        <v>236</v>
      </c>
      <c r="C267" s="3">
        <f>9+0+5+31</f>
        <v>45</v>
      </c>
      <c r="D267" s="3">
        <f>0+40+0+61</f>
        <v>101</v>
      </c>
      <c r="E267" s="11">
        <f t="shared" si="429"/>
        <v>382</v>
      </c>
      <c r="F267" s="12">
        <v>649</v>
      </c>
      <c r="G267" s="15">
        <f t="shared" ref="G267" si="513">F267-E267</f>
        <v>267</v>
      </c>
      <c r="H267" s="49">
        <f t="shared" ref="H267" si="514">(F267-F266)/F266</f>
        <v>6.0457516339869281E-2</v>
      </c>
      <c r="I267" s="57">
        <f t="shared" ref="I267" si="515">(E267-E266)/E266</f>
        <v>0.19003115264797507</v>
      </c>
      <c r="J267" s="30">
        <f t="shared" ref="J267" si="516">E267-E266</f>
        <v>61</v>
      </c>
      <c r="K267" s="13">
        <f t="shared" ref="K267" si="517">(F267-F215)/F215</f>
        <v>0.50930232558139532</v>
      </c>
      <c r="L267" s="3">
        <f t="shared" ref="L267" si="518">AVERAGE(F111,F163,F215)</f>
        <v>561.33333333333337</v>
      </c>
      <c r="M267" s="29" t="s">
        <v>37</v>
      </c>
    </row>
    <row r="268" spans="1:13" ht="14.25" x14ac:dyDescent="0.2">
      <c r="A268" s="21">
        <f t="shared" si="230"/>
        <v>40467</v>
      </c>
      <c r="B268" s="3">
        <f>6+123+0+304</f>
        <v>433</v>
      </c>
      <c r="C268" s="3">
        <f>4+0+1+22</f>
        <v>27</v>
      </c>
      <c r="D268" s="3">
        <f>0+56+0+129</f>
        <v>185</v>
      </c>
      <c r="E268" s="11">
        <f t="shared" si="429"/>
        <v>645</v>
      </c>
      <c r="F268" s="12">
        <v>709</v>
      </c>
      <c r="G268" s="15">
        <f t="shared" ref="G268" si="519">F268-E268</f>
        <v>64</v>
      </c>
      <c r="H268" s="49">
        <f t="shared" ref="H268" si="520">(F268-F267)/F267</f>
        <v>9.2449922958397532E-2</v>
      </c>
      <c r="I268" s="57">
        <f t="shared" ref="I268" si="521">(E268-E267)/E267</f>
        <v>0.68848167539267013</v>
      </c>
      <c r="J268" s="30">
        <f t="shared" ref="J268" si="522">E268-E267</f>
        <v>263</v>
      </c>
      <c r="K268" s="13">
        <f t="shared" ref="K268" si="523">(F268-F216)/F216</f>
        <v>0.42655935613682094</v>
      </c>
      <c r="L268" s="3">
        <f t="shared" ref="L268" si="524">AVERAGE(F112,F164,F216)</f>
        <v>571.33333333333337</v>
      </c>
      <c r="M268" s="29" t="s">
        <v>37</v>
      </c>
    </row>
    <row r="269" spans="1:13" ht="14.25" x14ac:dyDescent="0.2">
      <c r="A269" s="21">
        <f t="shared" si="230"/>
        <v>40474</v>
      </c>
      <c r="B269" s="3">
        <f>5+136+9+201</f>
        <v>351</v>
      </c>
      <c r="C269" s="3">
        <f>5+1+3+28</f>
        <v>37</v>
      </c>
      <c r="D269" s="3">
        <f>0+26+0+79</f>
        <v>105</v>
      </c>
      <c r="E269" s="11">
        <f t="shared" si="429"/>
        <v>493</v>
      </c>
      <c r="F269" s="12">
        <v>649</v>
      </c>
      <c r="G269" s="15">
        <f t="shared" ref="G269" si="525">F269-E269</f>
        <v>156</v>
      </c>
      <c r="H269" s="49">
        <f t="shared" ref="H269" si="526">(F269-F268)/F268</f>
        <v>-8.4626234132581094E-2</v>
      </c>
      <c r="I269" s="57">
        <f t="shared" ref="I269" si="527">(E269-E268)/E268</f>
        <v>-0.23565891472868217</v>
      </c>
      <c r="J269" s="30">
        <f t="shared" ref="J269" si="528">E269-E268</f>
        <v>-152</v>
      </c>
      <c r="K269" s="13">
        <f t="shared" ref="K269" si="529">(F269-F217)/F217</f>
        <v>9.4435075885328831E-2</v>
      </c>
      <c r="L269" s="3">
        <f t="shared" ref="L269" si="530">AVERAGE(F113,F165,F217)</f>
        <v>579.33333333333337</v>
      </c>
    </row>
    <row r="270" spans="1:13" ht="14.25" x14ac:dyDescent="0.2">
      <c r="A270" s="21">
        <f t="shared" si="230"/>
        <v>40481</v>
      </c>
      <c r="B270" s="3">
        <f>9+184+0+129</f>
        <v>322</v>
      </c>
      <c r="C270" s="3">
        <f>2+0+3+29</f>
        <v>34</v>
      </c>
      <c r="D270" s="3">
        <f>0+32+0+65</f>
        <v>97</v>
      </c>
      <c r="E270" s="11">
        <f t="shared" si="429"/>
        <v>453</v>
      </c>
      <c r="F270" s="12">
        <v>709</v>
      </c>
      <c r="G270" s="15">
        <f t="shared" ref="G270" si="531">F270-E270</f>
        <v>256</v>
      </c>
      <c r="H270" s="49">
        <f t="shared" ref="H270" si="532">(F270-F269)/F269</f>
        <v>9.2449922958397532E-2</v>
      </c>
      <c r="I270" s="57">
        <f t="shared" ref="I270" si="533">(E270-E269)/E269</f>
        <v>-8.1135902636916835E-2</v>
      </c>
      <c r="J270" s="30">
        <f t="shared" ref="J270" si="534">E270-E269</f>
        <v>-40</v>
      </c>
      <c r="K270" s="13">
        <f t="shared" ref="K270" si="535">(F270-F218)/F218</f>
        <v>0.27060931899641577</v>
      </c>
      <c r="L270" s="3">
        <f t="shared" ref="L270" si="536">AVERAGE(F114,F166,F218)</f>
        <v>618</v>
      </c>
    </row>
    <row r="271" spans="1:13" ht="14.25" x14ac:dyDescent="0.2">
      <c r="A271" s="21">
        <f t="shared" si="230"/>
        <v>40488</v>
      </c>
      <c r="B271" s="3">
        <f>5+152+0+85</f>
        <v>242</v>
      </c>
      <c r="C271" s="3">
        <f>1+0+0+20</f>
        <v>21</v>
      </c>
      <c r="D271" s="3">
        <f>2+32+0+49</f>
        <v>83</v>
      </c>
      <c r="E271" s="11">
        <f t="shared" si="429"/>
        <v>346</v>
      </c>
      <c r="F271" s="12">
        <v>650</v>
      </c>
      <c r="G271" s="15">
        <f t="shared" ref="G271" si="537">F271-E271</f>
        <v>304</v>
      </c>
      <c r="H271" s="49">
        <f t="shared" ref="H271" si="538">(F271-F270)/F270</f>
        <v>-8.3215796897038077E-2</v>
      </c>
      <c r="I271" s="57">
        <f t="shared" ref="I271" si="539">(E271-E270)/E270</f>
        <v>-0.23620309050772628</v>
      </c>
      <c r="J271" s="30">
        <f t="shared" ref="J271" si="540">E271-E270</f>
        <v>-107</v>
      </c>
      <c r="K271" s="13">
        <f t="shared" ref="K271" si="541">(F271-F219)/F219</f>
        <v>-5.6603773584905662E-2</v>
      </c>
      <c r="L271" s="3">
        <f t="shared" ref="L271" si="542">AVERAGE(F115,F167,F219)</f>
        <v>687.33333333333337</v>
      </c>
    </row>
    <row r="272" spans="1:13" ht="14.25" x14ac:dyDescent="0.2">
      <c r="A272" s="21">
        <f t="shared" si="230"/>
        <v>40495</v>
      </c>
      <c r="B272" s="3">
        <f>1+266+1+182</f>
        <v>450</v>
      </c>
      <c r="C272" s="3">
        <f>0+0+4+60</f>
        <v>64</v>
      </c>
      <c r="D272" s="3">
        <f>0+35+4+29</f>
        <v>68</v>
      </c>
      <c r="E272" s="11">
        <f t="shared" si="429"/>
        <v>582</v>
      </c>
      <c r="F272" s="12">
        <v>755</v>
      </c>
      <c r="G272" s="15">
        <f t="shared" ref="G272" si="543">F272-E272</f>
        <v>173</v>
      </c>
      <c r="H272" s="49">
        <f t="shared" ref="H272" si="544">(F272-F271)/F271</f>
        <v>0.16153846153846155</v>
      </c>
      <c r="I272" s="57">
        <f t="shared" ref="I272" si="545">(E272-E271)/E271</f>
        <v>0.68208092485549132</v>
      </c>
      <c r="J272" s="30">
        <f t="shared" ref="J272" si="546">E272-E271</f>
        <v>236</v>
      </c>
      <c r="K272" s="13">
        <f t="shared" ref="K272" si="547">(F272-F220)/F220</f>
        <v>5.0069541029207229E-2</v>
      </c>
      <c r="L272" s="3">
        <f t="shared" ref="L272" si="548">AVERAGE(F116,F168,F220)</f>
        <v>726</v>
      </c>
    </row>
    <row r="273" spans="1:12" ht="14.25" x14ac:dyDescent="0.2">
      <c r="A273" s="21">
        <f t="shared" si="230"/>
        <v>40502</v>
      </c>
      <c r="B273" s="3">
        <f>3+248+8+88</f>
        <v>347</v>
      </c>
      <c r="C273" s="3">
        <f>1+0+10+21</f>
        <v>32</v>
      </c>
      <c r="D273" s="3">
        <f>1+22+3+10</f>
        <v>36</v>
      </c>
      <c r="E273" s="11">
        <f t="shared" si="429"/>
        <v>415</v>
      </c>
      <c r="F273" s="12">
        <v>774</v>
      </c>
      <c r="G273" s="15">
        <f t="shared" ref="G273" si="549">F273-E273</f>
        <v>359</v>
      </c>
      <c r="H273" s="49">
        <f t="shared" ref="H273" si="550">(F273-F272)/F272</f>
        <v>2.5165562913907286E-2</v>
      </c>
      <c r="I273" s="57">
        <f t="shared" ref="I273" si="551">(E273-E272)/E272</f>
        <v>-0.28694158075601373</v>
      </c>
      <c r="J273" s="30">
        <f t="shared" ref="J273" si="552">E273-E272</f>
        <v>-167</v>
      </c>
      <c r="K273" s="13">
        <f t="shared" ref="K273" si="553">(F273-F221)/F221</f>
        <v>7.2022160664819951E-2</v>
      </c>
      <c r="L273" s="3">
        <f t="shared" ref="L273" si="554">AVERAGE(F117,F169,F221)</f>
        <v>689</v>
      </c>
    </row>
    <row r="274" spans="1:12" ht="14.25" x14ac:dyDescent="0.2">
      <c r="A274" s="21">
        <f t="shared" si="230"/>
        <v>40509</v>
      </c>
      <c r="B274" s="3">
        <f>6+242+1+123</f>
        <v>372</v>
      </c>
      <c r="C274" s="3">
        <f>3+0+1+56</f>
        <v>60</v>
      </c>
      <c r="D274" s="3">
        <f>1+37+0+50</f>
        <v>88</v>
      </c>
      <c r="E274" s="11">
        <f t="shared" si="429"/>
        <v>520</v>
      </c>
      <c r="F274" s="12">
        <v>662</v>
      </c>
      <c r="G274" s="15">
        <f t="shared" ref="G274" si="555">F274-E274</f>
        <v>142</v>
      </c>
      <c r="H274" s="49">
        <f t="shared" ref="H274" si="556">(F274-F273)/F273</f>
        <v>-0.14470284237726097</v>
      </c>
      <c r="I274" s="57">
        <f t="shared" ref="I274" si="557">(E274-E273)/E273</f>
        <v>0.25301204819277107</v>
      </c>
      <c r="J274" s="30">
        <f t="shared" ref="J274" si="558">E274-E273</f>
        <v>105</v>
      </c>
      <c r="K274" s="13">
        <f t="shared" ref="K274" si="559">(F274-F222)/F222</f>
        <v>0.1163575042158516</v>
      </c>
      <c r="L274" s="3">
        <f t="shared" ref="L274" si="560">AVERAGE(F118,F170,F222)</f>
        <v>658.66666666666663</v>
      </c>
    </row>
    <row r="275" spans="1:12" ht="14.25" x14ac:dyDescent="0.2">
      <c r="A275" s="21">
        <f t="shared" si="230"/>
        <v>40516</v>
      </c>
      <c r="B275" s="3">
        <f>3+308+1+279</f>
        <v>591</v>
      </c>
      <c r="C275" s="3">
        <f>2+0+7+44</f>
        <v>53</v>
      </c>
      <c r="D275" s="3">
        <f>1+18+0+43</f>
        <v>62</v>
      </c>
      <c r="E275" s="11">
        <f t="shared" si="429"/>
        <v>706</v>
      </c>
      <c r="F275" s="12">
        <v>798</v>
      </c>
      <c r="G275" s="15">
        <f t="shared" ref="G275" si="561">F275-E275</f>
        <v>92</v>
      </c>
      <c r="H275" s="49">
        <f t="shared" ref="H275" si="562">(F275-F274)/F274</f>
        <v>0.20543806646525681</v>
      </c>
      <c r="I275" s="57">
        <f t="shared" ref="I275" si="563">(E275-E274)/E274</f>
        <v>0.3576923076923077</v>
      </c>
      <c r="J275" s="30">
        <f t="shared" ref="J275" si="564">E275-E274</f>
        <v>186</v>
      </c>
      <c r="K275" s="13">
        <f t="shared" ref="K275" si="565">(F275-F223)/F223</f>
        <v>0.27679999999999999</v>
      </c>
      <c r="L275" s="3">
        <f t="shared" ref="L275" si="566">AVERAGE(F119,F171,F223)</f>
        <v>705</v>
      </c>
    </row>
    <row r="276" spans="1:12" ht="14.25" x14ac:dyDescent="0.2">
      <c r="A276" s="21">
        <f t="shared" si="230"/>
        <v>40523</v>
      </c>
      <c r="B276" s="3">
        <f>16+180+0+185</f>
        <v>381</v>
      </c>
      <c r="C276" s="3">
        <f>0+0+2+26</f>
        <v>28</v>
      </c>
      <c r="D276" s="3">
        <f>4+15+0+37</f>
        <v>56</v>
      </c>
      <c r="E276" s="11">
        <f t="shared" si="429"/>
        <v>465</v>
      </c>
      <c r="F276" s="12">
        <v>846</v>
      </c>
      <c r="G276" s="15">
        <f t="shared" ref="G276" si="567">F276-E276</f>
        <v>381</v>
      </c>
      <c r="H276" s="49">
        <f t="shared" ref="H276" si="568">(F276-F275)/F275</f>
        <v>6.0150375939849621E-2</v>
      </c>
      <c r="I276" s="57">
        <f t="shared" ref="I276" si="569">(E276-E275)/E275</f>
        <v>-0.34135977337110479</v>
      </c>
      <c r="J276" s="30">
        <f t="shared" ref="J276" si="570">E276-E275</f>
        <v>-241</v>
      </c>
      <c r="K276" s="13">
        <f t="shared" ref="K276" si="571">(F276-F224)/F224</f>
        <v>0.41235392320534225</v>
      </c>
      <c r="L276" s="3">
        <f t="shared" ref="L276" si="572">AVERAGE(F120,F172,F224)</f>
        <v>656.66666666666663</v>
      </c>
    </row>
    <row r="277" spans="1:12" ht="14.25" x14ac:dyDescent="0.2">
      <c r="A277" s="21">
        <f t="shared" ref="A277:A368" si="573">7+A276</f>
        <v>40530</v>
      </c>
      <c r="B277" s="3">
        <f>0+178+1+99</f>
        <v>278</v>
      </c>
      <c r="C277" s="3">
        <f>2+0+6+41</f>
        <v>49</v>
      </c>
      <c r="D277" s="3">
        <f>8+39+0+67</f>
        <v>114</v>
      </c>
      <c r="E277" s="11">
        <f t="shared" si="429"/>
        <v>441</v>
      </c>
      <c r="F277" s="12">
        <v>732</v>
      </c>
      <c r="G277" s="15">
        <f t="shared" ref="G277" si="574">F277-E277</f>
        <v>291</v>
      </c>
      <c r="H277" s="49">
        <f t="shared" ref="H277" si="575">(F277-F276)/F276</f>
        <v>-0.13475177304964539</v>
      </c>
      <c r="I277" s="57">
        <f t="shared" ref="I277" si="576">(E277-E276)/E276</f>
        <v>-5.1612903225806452E-2</v>
      </c>
      <c r="J277" s="30">
        <f t="shared" ref="J277" si="577">E277-E276</f>
        <v>-24</v>
      </c>
      <c r="K277" s="13">
        <f t="shared" ref="K277" si="578">(F277-F225)/F225</f>
        <v>0.57081545064377681</v>
      </c>
      <c r="L277" s="3">
        <f t="shared" ref="L277" si="579">AVERAGE(F121,F173,F225)</f>
        <v>597.33333333333337</v>
      </c>
    </row>
    <row r="278" spans="1:12" ht="14.25" x14ac:dyDescent="0.2">
      <c r="A278" s="21">
        <f t="shared" si="573"/>
        <v>40537</v>
      </c>
      <c r="B278" s="3">
        <f>5+224+0+125</f>
        <v>354</v>
      </c>
      <c r="C278" s="3">
        <f>6+0+4+69</f>
        <v>79</v>
      </c>
      <c r="D278" s="3">
        <f>8+52+2+53</f>
        <v>115</v>
      </c>
      <c r="E278" s="11">
        <f t="shared" si="429"/>
        <v>548</v>
      </c>
      <c r="F278" s="12">
        <v>564</v>
      </c>
      <c r="G278" s="15">
        <f t="shared" ref="G278" si="580">F278-E278</f>
        <v>16</v>
      </c>
      <c r="H278" s="49">
        <f t="shared" ref="H278" si="581">(F278-F277)/F277</f>
        <v>-0.22950819672131148</v>
      </c>
      <c r="I278" s="57">
        <f t="shared" ref="I278" si="582">(E278-E277)/E277</f>
        <v>0.24263038548752835</v>
      </c>
      <c r="J278" s="30">
        <f t="shared" ref="J278" si="583">E278-E277</f>
        <v>107</v>
      </c>
      <c r="K278" s="13">
        <f t="shared" ref="K278" si="584">(F278-F226)/F226</f>
        <v>-0.12828438948995363</v>
      </c>
      <c r="L278" s="3">
        <f t="shared" ref="L278" si="585">AVERAGE(F122,F174,F226)</f>
        <v>629.66666666666663</v>
      </c>
    </row>
    <row r="279" spans="1:12" ht="14.25" x14ac:dyDescent="0.2">
      <c r="A279" s="21">
        <f t="shared" si="573"/>
        <v>40544</v>
      </c>
      <c r="B279" s="3">
        <f>2+189+2+45</f>
        <v>238</v>
      </c>
      <c r="C279" s="3">
        <f>5+0+3+25</f>
        <v>33</v>
      </c>
      <c r="D279" s="3">
        <f>9+42+2+47</f>
        <v>100</v>
      </c>
      <c r="E279" s="11">
        <f t="shared" si="429"/>
        <v>371</v>
      </c>
      <c r="F279" s="12">
        <v>430</v>
      </c>
      <c r="G279" s="15">
        <f t="shared" ref="G279" si="586">F279-E279</f>
        <v>59</v>
      </c>
      <c r="H279" s="49">
        <f t="shared" ref="H279" si="587">(F279-F278)/F278</f>
        <v>-0.23758865248226951</v>
      </c>
      <c r="I279" s="57">
        <f t="shared" ref="I279" si="588">(E279-E278)/E278</f>
        <v>-0.32299270072992703</v>
      </c>
      <c r="J279" s="30">
        <f t="shared" ref="J279" si="589">E279-E278</f>
        <v>-177</v>
      </c>
      <c r="K279" s="13">
        <f t="shared" ref="K279" si="590">(F279-F227)/F227</f>
        <v>-0.44155844155844154</v>
      </c>
      <c r="L279" s="3">
        <f t="shared" ref="L279" si="591">AVERAGE(F123,F175,F227)</f>
        <v>660.66666666666663</v>
      </c>
    </row>
    <row r="280" spans="1:12" ht="14.25" x14ac:dyDescent="0.2">
      <c r="A280" s="21">
        <f t="shared" si="573"/>
        <v>40551</v>
      </c>
      <c r="B280" s="3">
        <f>3+121+0+90</f>
        <v>214</v>
      </c>
      <c r="C280" s="3">
        <f>5+0+1+23</f>
        <v>29</v>
      </c>
      <c r="D280" s="3">
        <f>4+56+2+58</f>
        <v>120</v>
      </c>
      <c r="E280" s="11">
        <f t="shared" si="429"/>
        <v>363</v>
      </c>
      <c r="F280" s="12">
        <v>654</v>
      </c>
      <c r="G280" s="15">
        <f t="shared" ref="G280:G281" si="592">F280-E280</f>
        <v>291</v>
      </c>
      <c r="H280" s="49">
        <f t="shared" ref="H280:H281" si="593">(F280-F279)/F279</f>
        <v>0.52093023255813953</v>
      </c>
      <c r="I280" s="57">
        <f t="shared" ref="I280:I281" si="594">(E280-E279)/E279</f>
        <v>-2.15633423180593E-2</v>
      </c>
      <c r="J280" s="30">
        <f t="shared" ref="J280:J281" si="595">E280-E279</f>
        <v>-8</v>
      </c>
      <c r="K280" s="13">
        <f t="shared" ref="K280:K281" si="596">(F280-F228)/F228</f>
        <v>-0.1825</v>
      </c>
      <c r="L280" s="3">
        <f t="shared" ref="L280:L281" si="597">AVERAGE(F124,F176,F228)</f>
        <v>706</v>
      </c>
    </row>
    <row r="281" spans="1:12" ht="14.25" x14ac:dyDescent="0.2">
      <c r="A281" s="21">
        <f t="shared" si="573"/>
        <v>40558</v>
      </c>
      <c r="B281" s="3">
        <v>138</v>
      </c>
      <c r="C281" s="3">
        <v>24</v>
      </c>
      <c r="D281" s="3">
        <v>175</v>
      </c>
      <c r="E281" s="11">
        <f t="shared" si="429"/>
        <v>337</v>
      </c>
      <c r="F281" s="12">
        <v>571</v>
      </c>
      <c r="G281" s="15">
        <f t="shared" si="592"/>
        <v>234</v>
      </c>
      <c r="H281" s="49">
        <f t="shared" si="593"/>
        <v>-0.12691131498470948</v>
      </c>
      <c r="I281" s="57">
        <f t="shared" si="594"/>
        <v>-7.1625344352617082E-2</v>
      </c>
      <c r="J281" s="30">
        <f t="shared" si="595"/>
        <v>-26</v>
      </c>
      <c r="K281" s="13">
        <f t="shared" si="596"/>
        <v>-0.25844155844155842</v>
      </c>
      <c r="L281" s="3">
        <f t="shared" si="597"/>
        <v>711</v>
      </c>
    </row>
    <row r="282" spans="1:12" ht="14.25" x14ac:dyDescent="0.2">
      <c r="A282" s="21">
        <f t="shared" si="573"/>
        <v>40565</v>
      </c>
      <c r="B282" s="3">
        <f>2+98+0+62</f>
        <v>162</v>
      </c>
      <c r="C282" s="3">
        <f>9+0+1+21</f>
        <v>31</v>
      </c>
      <c r="D282" s="3">
        <f>2+90+0+75</f>
        <v>167</v>
      </c>
      <c r="E282" s="11">
        <f t="shared" si="429"/>
        <v>360</v>
      </c>
      <c r="F282" s="12">
        <v>610</v>
      </c>
      <c r="G282" s="15">
        <f t="shared" ref="G282" si="598">F282-E282</f>
        <v>250</v>
      </c>
      <c r="H282" s="49">
        <f t="shared" ref="H282" si="599">(F282-F281)/F281</f>
        <v>6.8301225919439573E-2</v>
      </c>
      <c r="I282" s="57">
        <f t="shared" ref="I282" si="600">(E282-E281)/E281</f>
        <v>6.8249258160237386E-2</v>
      </c>
      <c r="J282" s="30">
        <f t="shared" ref="J282" si="601">E282-E281</f>
        <v>23</v>
      </c>
      <c r="K282" s="13">
        <f t="shared" ref="K282" si="602">(F282-F230)/F230</f>
        <v>-9.0909090909090912E-2</v>
      </c>
      <c r="L282" s="3">
        <f t="shared" ref="L282" si="603">AVERAGE(F126,F178,F230)</f>
        <v>671</v>
      </c>
    </row>
    <row r="283" spans="1:12" ht="14.25" x14ac:dyDescent="0.2">
      <c r="A283" s="21">
        <f t="shared" si="573"/>
        <v>40572</v>
      </c>
      <c r="B283" s="3">
        <f>3+130+0+51</f>
        <v>184</v>
      </c>
      <c r="C283" s="3">
        <f>9+0+1+22</f>
        <v>32</v>
      </c>
      <c r="D283" s="3">
        <f>3+86+2+60</f>
        <v>151</v>
      </c>
      <c r="E283" s="11">
        <f t="shared" si="429"/>
        <v>367</v>
      </c>
      <c r="F283" s="12">
        <v>701</v>
      </c>
      <c r="G283" s="15">
        <f t="shared" ref="G283" si="604">F283-E283</f>
        <v>334</v>
      </c>
      <c r="H283" s="49">
        <f t="shared" ref="H283" si="605">(F283-F282)/F282</f>
        <v>0.14918032786885246</v>
      </c>
      <c r="I283" s="57">
        <f t="shared" ref="I283" si="606">(E283-E282)/E282</f>
        <v>1.9444444444444445E-2</v>
      </c>
      <c r="J283" s="30">
        <f t="shared" ref="J283" si="607">E283-E282</f>
        <v>7</v>
      </c>
      <c r="K283" s="13">
        <f t="shared" ref="K283" si="608">(F283-F231)/F231</f>
        <v>-6.1579651941097727E-2</v>
      </c>
      <c r="L283" s="3">
        <f t="shared" ref="L283" si="609">AVERAGE(F127,F179,F231)</f>
        <v>717.66666666666663</v>
      </c>
    </row>
    <row r="284" spans="1:12" ht="14.25" x14ac:dyDescent="0.2">
      <c r="A284" s="21">
        <f t="shared" si="573"/>
        <v>40579</v>
      </c>
      <c r="B284" s="3">
        <f>0+61+0+39</f>
        <v>100</v>
      </c>
      <c r="C284" s="3">
        <f>7+0+5+22</f>
        <v>34</v>
      </c>
      <c r="D284" s="3">
        <f>3+100+0+51</f>
        <v>154</v>
      </c>
      <c r="E284" s="11">
        <f t="shared" si="429"/>
        <v>288</v>
      </c>
      <c r="F284" s="12">
        <v>637</v>
      </c>
      <c r="G284" s="15">
        <f t="shared" ref="G284" si="610">F284-E284</f>
        <v>349</v>
      </c>
      <c r="H284" s="49">
        <f t="shared" ref="H284" si="611">(F284-F283)/F283</f>
        <v>-9.1298145506419404E-2</v>
      </c>
      <c r="I284" s="57">
        <f t="shared" ref="I284" si="612">(E284-E283)/E283</f>
        <v>-0.21525885558583105</v>
      </c>
      <c r="J284" s="30">
        <f t="shared" ref="J284" si="613">E284-E283</f>
        <v>-79</v>
      </c>
      <c r="K284" s="13">
        <f t="shared" ref="K284" si="614">(F284-F232)/F232</f>
        <v>-3.1914893617021274E-2</v>
      </c>
      <c r="L284" s="3">
        <f t="shared" ref="L284" si="615">AVERAGE(F128,F180,F232)</f>
        <v>698</v>
      </c>
    </row>
    <row r="285" spans="1:12" ht="14.25" x14ac:dyDescent="0.2">
      <c r="A285" s="21">
        <f t="shared" si="573"/>
        <v>40586</v>
      </c>
      <c r="B285" s="3">
        <f>0+47+0+58</f>
        <v>105</v>
      </c>
      <c r="C285" s="3">
        <f>4+0+1+20</f>
        <v>25</v>
      </c>
      <c r="D285" s="3">
        <f>6+95+0+65</f>
        <v>166</v>
      </c>
      <c r="E285" s="11">
        <f t="shared" si="429"/>
        <v>296</v>
      </c>
      <c r="F285" s="12">
        <v>694</v>
      </c>
      <c r="G285" s="15">
        <f t="shared" ref="G285" si="616">F285-E285</f>
        <v>398</v>
      </c>
      <c r="H285" s="49">
        <f t="shared" ref="H285" si="617">(F285-F284)/F284</f>
        <v>8.9481946624803771E-2</v>
      </c>
      <c r="I285" s="57">
        <f t="shared" ref="I285" si="618">(E285-E284)/E284</f>
        <v>2.7777777777777776E-2</v>
      </c>
      <c r="J285" s="30">
        <f t="shared" ref="J285" si="619">E285-E284</f>
        <v>8</v>
      </c>
      <c r="K285" s="13">
        <f t="shared" ref="K285" si="620">(F285-F233)/F233</f>
        <v>0.16053511705685619</v>
      </c>
      <c r="L285" s="3">
        <f t="shared" ref="L285" si="621">AVERAGE(F129,F181,F233)</f>
        <v>667</v>
      </c>
    </row>
    <row r="286" spans="1:12" ht="14.25" x14ac:dyDescent="0.2">
      <c r="A286" s="21">
        <f t="shared" si="573"/>
        <v>40593</v>
      </c>
      <c r="B286" s="3">
        <f>4+120+0+91</f>
        <v>215</v>
      </c>
      <c r="C286" s="3">
        <f>3+0+6+31</f>
        <v>40</v>
      </c>
      <c r="D286" s="3">
        <f>5+112+3+59</f>
        <v>179</v>
      </c>
      <c r="E286" s="11">
        <f t="shared" si="429"/>
        <v>434</v>
      </c>
      <c r="F286" s="12">
        <v>725</v>
      </c>
      <c r="G286" s="15">
        <f t="shared" ref="G286" si="622">F286-E286</f>
        <v>291</v>
      </c>
      <c r="H286" s="49">
        <f t="shared" ref="H286" si="623">(F286-F285)/F285</f>
        <v>4.4668587896253602E-2</v>
      </c>
      <c r="I286" s="57">
        <f t="shared" ref="I286" si="624">(E286-E285)/E285</f>
        <v>0.46621621621621623</v>
      </c>
      <c r="J286" s="30">
        <f t="shared" ref="J286" si="625">E286-E285</f>
        <v>138</v>
      </c>
      <c r="K286" s="13">
        <f t="shared" ref="K286" si="626">(F286-F234)/F234</f>
        <v>2.4011299435028249E-2</v>
      </c>
      <c r="L286" s="3">
        <f t="shared" ref="L286" si="627">AVERAGE(F130,F182,F234)</f>
        <v>625.33333333333337</v>
      </c>
    </row>
    <row r="287" spans="1:12" ht="14.25" x14ac:dyDescent="0.2">
      <c r="A287" s="21">
        <f t="shared" si="573"/>
        <v>40600</v>
      </c>
      <c r="B287" s="3">
        <f>5+135+2+71</f>
        <v>213</v>
      </c>
      <c r="C287" s="3">
        <f>2+0+3+27</f>
        <v>32</v>
      </c>
      <c r="D287" s="3">
        <f>0+71+0+44</f>
        <v>115</v>
      </c>
      <c r="E287" s="11">
        <f t="shared" si="429"/>
        <v>360</v>
      </c>
      <c r="F287" s="12">
        <v>654</v>
      </c>
      <c r="G287" s="15">
        <f t="shared" ref="G287" si="628">F287-E287</f>
        <v>294</v>
      </c>
      <c r="H287" s="49">
        <f t="shared" ref="H287" si="629">(F287-F286)/F286</f>
        <v>-9.7931034482758625E-2</v>
      </c>
      <c r="I287" s="57">
        <f t="shared" ref="I287" si="630">(E287-E286)/E286</f>
        <v>-0.17050691244239632</v>
      </c>
      <c r="J287" s="30">
        <f t="shared" ref="J287" si="631">E287-E286</f>
        <v>-74</v>
      </c>
      <c r="K287" s="13">
        <f t="shared" ref="K287" si="632">(F287-F235)/F235</f>
        <v>-0.13833992094861661</v>
      </c>
      <c r="L287" s="3">
        <f t="shared" ref="L287" si="633">AVERAGE(F131,F183,F235)</f>
        <v>631</v>
      </c>
    </row>
    <row r="288" spans="1:12" ht="14.25" x14ac:dyDescent="0.2">
      <c r="A288" s="21">
        <f t="shared" si="573"/>
        <v>40607</v>
      </c>
      <c r="B288" s="3">
        <f>8+99+0+38</f>
        <v>145</v>
      </c>
      <c r="C288" s="3">
        <f>6+0+6+32</f>
        <v>44</v>
      </c>
      <c r="D288" s="3">
        <f>0+47+1+24</f>
        <v>72</v>
      </c>
      <c r="E288" s="11">
        <f t="shared" si="429"/>
        <v>261</v>
      </c>
      <c r="F288" s="12">
        <v>714</v>
      </c>
      <c r="G288" s="15">
        <f t="shared" ref="G288" si="634">F288-E288</f>
        <v>453</v>
      </c>
      <c r="H288" s="49">
        <f t="shared" ref="H288" si="635">(F288-F287)/F287</f>
        <v>9.1743119266055051E-2</v>
      </c>
      <c r="I288" s="57">
        <f t="shared" ref="I288" si="636">(E288-E287)/E287</f>
        <v>-0.27500000000000002</v>
      </c>
      <c r="J288" s="30">
        <f t="shared" ref="J288" si="637">E288-E287</f>
        <v>-99</v>
      </c>
      <c r="K288" s="13">
        <f t="shared" ref="K288" si="638">(F288-F236)/F236</f>
        <v>0.23743500866551126</v>
      </c>
      <c r="L288" s="3">
        <f t="shared" ref="L288" si="639">AVERAGE(F132,F184,F236)</f>
        <v>625</v>
      </c>
    </row>
    <row r="289" spans="1:13" ht="14.25" x14ac:dyDescent="0.2">
      <c r="A289" s="21">
        <f t="shared" si="573"/>
        <v>40614</v>
      </c>
      <c r="B289" s="3">
        <f>5+170+0+51</f>
        <v>226</v>
      </c>
      <c r="C289" s="3">
        <f>12+2+12+28</f>
        <v>54</v>
      </c>
      <c r="D289" s="3">
        <f>0+64+0+24</f>
        <v>88</v>
      </c>
      <c r="E289" s="11">
        <f t="shared" si="429"/>
        <v>368</v>
      </c>
      <c r="F289" s="12">
        <v>563</v>
      </c>
      <c r="G289" s="15">
        <f t="shared" ref="G289" si="640">F289-E289</f>
        <v>195</v>
      </c>
      <c r="H289" s="49">
        <f t="shared" ref="H289" si="641">(F289-F288)/F288</f>
        <v>-0.21148459383753501</v>
      </c>
      <c r="I289" s="57">
        <f t="shared" ref="I289" si="642">(E289-E288)/E288</f>
        <v>0.40996168582375481</v>
      </c>
      <c r="J289" s="30">
        <f t="shared" ref="J289" si="643">E289-E288</f>
        <v>107</v>
      </c>
      <c r="K289" s="13">
        <f t="shared" ref="K289" si="644">(F289-F237)/F237</f>
        <v>-3.430531732418525E-2</v>
      </c>
      <c r="L289" s="3">
        <f t="shared" ref="L289" si="645">AVERAGE(F133,F185,F237)</f>
        <v>602.33333333333337</v>
      </c>
    </row>
    <row r="290" spans="1:13" ht="14.25" x14ac:dyDescent="0.2">
      <c r="A290" s="21">
        <f t="shared" si="573"/>
        <v>40621</v>
      </c>
      <c r="B290" s="3">
        <f>8+194+0+76</f>
        <v>278</v>
      </c>
      <c r="C290" s="3">
        <f>6+2+4+24</f>
        <v>36</v>
      </c>
      <c r="D290" s="3">
        <f>0+59+0+19</f>
        <v>78</v>
      </c>
      <c r="E290" s="11">
        <f t="shared" si="429"/>
        <v>392</v>
      </c>
      <c r="F290" s="12">
        <v>607</v>
      </c>
      <c r="G290" s="15">
        <f t="shared" ref="G290" si="646">F290-E290</f>
        <v>215</v>
      </c>
      <c r="H290" s="49">
        <f t="shared" ref="H290" si="647">(F290-F289)/F289</f>
        <v>7.8152753108348141E-2</v>
      </c>
      <c r="I290" s="57">
        <f t="shared" ref="I290" si="648">(E290-E289)/E289</f>
        <v>6.5217391304347824E-2</v>
      </c>
      <c r="J290" s="30">
        <f t="shared" ref="J290" si="649">E290-E289</f>
        <v>24</v>
      </c>
      <c r="K290" s="13">
        <f t="shared" ref="K290" si="650">(F290-F238)/F238</f>
        <v>-0.16275862068965516</v>
      </c>
      <c r="L290" s="3">
        <f t="shared" ref="L290" si="651">AVERAGE(F134,F186,F238)</f>
        <v>634</v>
      </c>
    </row>
    <row r="291" spans="1:13" ht="14.25" x14ac:dyDescent="0.2">
      <c r="A291" s="21">
        <f t="shared" si="573"/>
        <v>40628</v>
      </c>
      <c r="B291" s="3">
        <f>2+214+2+71</f>
        <v>289</v>
      </c>
      <c r="C291" s="3">
        <f>14+0+2+27</f>
        <v>43</v>
      </c>
      <c r="D291" s="3">
        <f>2+63+0+19</f>
        <v>84</v>
      </c>
      <c r="E291" s="11">
        <f t="shared" si="429"/>
        <v>416</v>
      </c>
      <c r="F291" s="12">
        <v>657</v>
      </c>
      <c r="G291" s="15">
        <f t="shared" ref="G291" si="652">F291-E291</f>
        <v>241</v>
      </c>
      <c r="H291" s="49">
        <f t="shared" ref="H291" si="653">(F291-F290)/F290</f>
        <v>8.2372322899505759E-2</v>
      </c>
      <c r="I291" s="57">
        <f t="shared" ref="I291" si="654">(E291-E290)/E290</f>
        <v>6.1224489795918366E-2</v>
      </c>
      <c r="J291" s="30">
        <f t="shared" ref="J291" si="655">E291-E290</f>
        <v>24</v>
      </c>
      <c r="K291" s="13">
        <f t="shared" ref="K291" si="656">(F291-F239)/F239</f>
        <v>5.7971014492753624E-2</v>
      </c>
      <c r="L291" s="3">
        <f t="shared" ref="L291" si="657">AVERAGE(F135,F187,F239)</f>
        <v>590</v>
      </c>
    </row>
    <row r="292" spans="1:13" ht="14.25" x14ac:dyDescent="0.2">
      <c r="A292" s="21">
        <f t="shared" si="573"/>
        <v>40635</v>
      </c>
      <c r="B292" s="3">
        <f>4+211+0+63</f>
        <v>278</v>
      </c>
      <c r="C292" s="3">
        <f>19+1+8+23</f>
        <v>51</v>
      </c>
      <c r="D292" s="3">
        <f>8+77+1+22</f>
        <v>108</v>
      </c>
      <c r="E292" s="11">
        <f t="shared" si="429"/>
        <v>437</v>
      </c>
      <c r="F292" s="12">
        <v>497</v>
      </c>
      <c r="G292" s="15">
        <f t="shared" ref="G292" si="658">F292-E292</f>
        <v>60</v>
      </c>
      <c r="H292" s="49">
        <f t="shared" ref="H292" si="659">(F292-F291)/F291</f>
        <v>-0.24353120243531201</v>
      </c>
      <c r="I292" s="57">
        <f t="shared" ref="I292" si="660">(E292-E291)/E291</f>
        <v>5.0480769230769232E-2</v>
      </c>
      <c r="J292" s="30">
        <f t="shared" ref="J292" si="661">E292-E291</f>
        <v>21</v>
      </c>
      <c r="K292" s="13">
        <f t="shared" ref="K292" si="662">(F292-F240)/F240</f>
        <v>0.16941176470588235</v>
      </c>
      <c r="L292" s="3">
        <f t="shared" ref="L292" si="663">AVERAGE(F136,F188,F240)</f>
        <v>528.66666666666663</v>
      </c>
    </row>
    <row r="293" spans="1:13" ht="14.25" x14ac:dyDescent="0.2">
      <c r="A293" s="21">
        <f t="shared" si="573"/>
        <v>40642</v>
      </c>
      <c r="B293" s="3">
        <f>11+178+0+30</f>
        <v>219</v>
      </c>
      <c r="C293" s="3">
        <f>5+0+5+4</f>
        <v>14</v>
      </c>
      <c r="D293" s="3">
        <f>4+50+1+6</f>
        <v>61</v>
      </c>
      <c r="E293" s="11">
        <f t="shared" ref="E293:E297" si="664">SUM(B293:D293)</f>
        <v>294</v>
      </c>
      <c r="F293" s="12">
        <v>542</v>
      </c>
      <c r="G293" s="15">
        <f t="shared" ref="G293" si="665">F293-E293</f>
        <v>248</v>
      </c>
      <c r="H293" s="49">
        <f t="shared" ref="H293" si="666">(F293-F292)/F292</f>
        <v>9.0543259557344061E-2</v>
      </c>
      <c r="I293" s="57">
        <f t="shared" ref="I293" si="667">(E293-E292)/E292</f>
        <v>-0.32723112128146453</v>
      </c>
      <c r="J293" s="30">
        <f t="shared" ref="J293" si="668">E293-E292</f>
        <v>-143</v>
      </c>
      <c r="K293" s="13">
        <f t="shared" ref="K293" si="669">(F293-F241)/F241</f>
        <v>0.38265306122448978</v>
      </c>
      <c r="L293" s="3">
        <f t="shared" ref="L293" si="670">AVERAGE(F137,F189,F241)</f>
        <v>483.66666666666669</v>
      </c>
    </row>
    <row r="294" spans="1:13" ht="14.25" x14ac:dyDescent="0.2">
      <c r="A294" s="21">
        <f t="shared" si="573"/>
        <v>40649</v>
      </c>
      <c r="B294" s="3">
        <f>1+231+1+49</f>
        <v>282</v>
      </c>
      <c r="C294" s="3">
        <f>7+1+2+12</f>
        <v>22</v>
      </c>
      <c r="D294" s="3">
        <f>7+41+0+6</f>
        <v>54</v>
      </c>
      <c r="E294" s="11">
        <f t="shared" si="664"/>
        <v>358</v>
      </c>
      <c r="F294" s="12">
        <v>447</v>
      </c>
      <c r="G294" s="15">
        <f t="shared" ref="G294" si="671">F294-E294</f>
        <v>89</v>
      </c>
      <c r="H294" s="49">
        <f t="shared" ref="H294" si="672">(F294-F293)/F293</f>
        <v>-0.17527675276752769</v>
      </c>
      <c r="I294" s="57">
        <f t="shared" ref="I294" si="673">(E294-E293)/E293</f>
        <v>0.21768707482993196</v>
      </c>
      <c r="J294" s="30">
        <f t="shared" ref="J294" si="674">E294-E293</f>
        <v>64</v>
      </c>
      <c r="K294" s="13">
        <f t="shared" ref="K294" si="675">(F294-F242)/F242</f>
        <v>-3.0368763557483729E-2</v>
      </c>
      <c r="L294" s="3">
        <f t="shared" ref="L294" si="676">AVERAGE(F138,F190,F242)</f>
        <v>510</v>
      </c>
    </row>
    <row r="295" spans="1:13" ht="14.25" x14ac:dyDescent="0.2">
      <c r="A295" s="21">
        <f t="shared" si="573"/>
        <v>40656</v>
      </c>
      <c r="B295" s="3">
        <f>8+156+1+43</f>
        <v>208</v>
      </c>
      <c r="C295" s="3">
        <f>15+1+3+12</f>
        <v>31</v>
      </c>
      <c r="D295" s="3">
        <f>9+48+0+5</f>
        <v>62</v>
      </c>
      <c r="E295" s="11">
        <f t="shared" si="664"/>
        <v>301</v>
      </c>
      <c r="F295" s="12">
        <v>302</v>
      </c>
      <c r="G295" s="15">
        <f t="shared" ref="G295" si="677">F295-E295</f>
        <v>1</v>
      </c>
      <c r="H295" s="49">
        <f t="shared" ref="H295" si="678">(F295-F294)/F294</f>
        <v>-0.32438478747203581</v>
      </c>
      <c r="I295" s="57">
        <f t="shared" ref="I295" si="679">(E295-E294)/E294</f>
        <v>-0.15921787709497207</v>
      </c>
      <c r="J295" s="30">
        <f t="shared" ref="J295" si="680">E295-E294</f>
        <v>-57</v>
      </c>
      <c r="K295" s="13">
        <f t="shared" ref="K295" si="681">(F295-F243)/F243</f>
        <v>-5.6250000000000001E-2</v>
      </c>
      <c r="L295" s="3">
        <f t="shared" ref="L295" si="682">AVERAGE(F139,F191,F243)</f>
        <v>341.33333333333331</v>
      </c>
    </row>
    <row r="296" spans="1:13" ht="14.25" x14ac:dyDescent="0.2">
      <c r="A296" s="21">
        <f t="shared" si="573"/>
        <v>40663</v>
      </c>
      <c r="B296" s="3">
        <f>0+123+1+15</f>
        <v>139</v>
      </c>
      <c r="C296" s="3">
        <f>2+0+3+1</f>
        <v>6</v>
      </c>
      <c r="D296" s="3">
        <f>3+6+0+8</f>
        <v>17</v>
      </c>
      <c r="E296" s="11">
        <f t="shared" si="664"/>
        <v>162</v>
      </c>
      <c r="F296" s="12">
        <v>390</v>
      </c>
      <c r="G296" s="15">
        <f t="shared" ref="G296" si="683">F296-E296</f>
        <v>228</v>
      </c>
      <c r="H296" s="49">
        <f t="shared" ref="H296" si="684">(F296-F295)/F295</f>
        <v>0.29139072847682118</v>
      </c>
      <c r="I296" s="57">
        <f t="shared" ref="I296" si="685">(E296-E295)/E295</f>
        <v>-0.46179401993355484</v>
      </c>
      <c r="J296" s="30">
        <f t="shared" ref="J296" si="686">E296-E295</f>
        <v>-139</v>
      </c>
      <c r="K296" s="13">
        <f t="shared" ref="K296" si="687">(F296-F244)/F244</f>
        <v>0.27868852459016391</v>
      </c>
      <c r="L296" s="3">
        <f t="shared" ref="L296" si="688">AVERAGE(F140,F192,F244)</f>
        <v>410.33333333333331</v>
      </c>
    </row>
    <row r="297" spans="1:13" ht="14.25" x14ac:dyDescent="0.2">
      <c r="A297" s="21">
        <f t="shared" si="573"/>
        <v>40670</v>
      </c>
      <c r="B297" s="3">
        <f>0+149+3+30</f>
        <v>182</v>
      </c>
      <c r="C297" s="3">
        <f>0</f>
        <v>0</v>
      </c>
      <c r="D297" s="3">
        <f>2</f>
        <v>2</v>
      </c>
      <c r="E297" s="11">
        <f t="shared" si="664"/>
        <v>184</v>
      </c>
      <c r="F297" s="12">
        <v>340</v>
      </c>
      <c r="G297" s="15">
        <f t="shared" ref="G297" si="689">F297-E297</f>
        <v>156</v>
      </c>
      <c r="H297" s="49">
        <f t="shared" ref="H297" si="690">(F297-F296)/F296</f>
        <v>-0.12820512820512819</v>
      </c>
      <c r="I297" s="57">
        <f t="shared" ref="I297" si="691">(E297-E296)/E296</f>
        <v>0.13580246913580246</v>
      </c>
      <c r="J297" s="30">
        <f t="shared" ref="J297" si="692">E297-E296</f>
        <v>22</v>
      </c>
      <c r="K297" s="13">
        <f t="shared" ref="K297" si="693">(F297-F245)/F245</f>
        <v>-0.27505330490405117</v>
      </c>
      <c r="L297" s="3">
        <f t="shared" ref="L297" si="694">AVERAGE(F141,F193,F245)</f>
        <v>455</v>
      </c>
    </row>
    <row r="298" spans="1:13" ht="14.25" x14ac:dyDescent="0.2">
      <c r="A298" s="21">
        <f t="shared" si="573"/>
        <v>40677</v>
      </c>
      <c r="B298" s="3">
        <f>1+252+0+64</f>
        <v>317</v>
      </c>
      <c r="C298" s="3">
        <f>0</f>
        <v>0</v>
      </c>
      <c r="D298" s="3">
        <f>6+0+1</f>
        <v>7</v>
      </c>
      <c r="E298" s="11">
        <f t="shared" ref="E298:E312" si="695">SUM(B298:D298)</f>
        <v>324</v>
      </c>
      <c r="F298" s="12">
        <v>268</v>
      </c>
      <c r="G298" s="15">
        <f t="shared" ref="G298" si="696">F298-E298</f>
        <v>-56</v>
      </c>
      <c r="H298" s="49">
        <f t="shared" ref="H298" si="697">(F298-F297)/F297</f>
        <v>-0.21176470588235294</v>
      </c>
      <c r="I298" s="57">
        <f t="shared" ref="I298" si="698">(E298-E297)/E297</f>
        <v>0.76086956521739135</v>
      </c>
      <c r="J298" s="30">
        <f t="shared" ref="J298" si="699">E298-E297</f>
        <v>140</v>
      </c>
      <c r="K298" s="13">
        <f t="shared" ref="K298" si="700">(F298-F246)/F246</f>
        <v>-0.4875717017208413</v>
      </c>
      <c r="L298" s="3">
        <f t="shared" ref="L298" si="701">AVERAGE(F142,F194,F246)</f>
        <v>456.33333333333331</v>
      </c>
    </row>
    <row r="299" spans="1:13" ht="14.25" x14ac:dyDescent="0.2">
      <c r="A299" s="21">
        <f t="shared" si="573"/>
        <v>40684</v>
      </c>
      <c r="B299" s="3">
        <f>13+307+6+50</f>
        <v>376</v>
      </c>
      <c r="C299" s="3">
        <f>0</f>
        <v>0</v>
      </c>
      <c r="D299" s="3">
        <f>13+62+0+23</f>
        <v>98</v>
      </c>
      <c r="E299" s="11">
        <f t="shared" si="695"/>
        <v>474</v>
      </c>
      <c r="F299" s="12">
        <v>368</v>
      </c>
      <c r="G299" s="15">
        <f t="shared" ref="G299" si="702">F299-E299</f>
        <v>-106</v>
      </c>
      <c r="H299" s="49">
        <f t="shared" ref="H299" si="703">(F299-F298)/F298</f>
        <v>0.37313432835820898</v>
      </c>
      <c r="I299" s="57">
        <f t="shared" ref="I299" si="704">(E299-E298)/E298</f>
        <v>0.46296296296296297</v>
      </c>
      <c r="J299" s="30">
        <f t="shared" ref="J299" si="705">E299-E298</f>
        <v>150</v>
      </c>
      <c r="K299" s="13">
        <f t="shared" ref="K299" si="706">(F299-F247)/F247</f>
        <v>-0.28265107212475632</v>
      </c>
      <c r="L299" s="3">
        <f t="shared" ref="L299" si="707">AVERAGE(F143,F195,F247)</f>
        <v>476.33333333333331</v>
      </c>
    </row>
    <row r="300" spans="1:13" ht="14.25" x14ac:dyDescent="0.2">
      <c r="A300" s="21">
        <f t="shared" si="573"/>
        <v>40691</v>
      </c>
      <c r="B300" s="3">
        <f>2+296+0+34</f>
        <v>332</v>
      </c>
      <c r="C300" s="3">
        <f>29+0+0+20</f>
        <v>49</v>
      </c>
      <c r="D300" s="3">
        <f>8+38+0+18</f>
        <v>64</v>
      </c>
      <c r="E300" s="11">
        <f t="shared" si="695"/>
        <v>445</v>
      </c>
      <c r="F300" s="12">
        <v>366</v>
      </c>
      <c r="G300" s="15">
        <f t="shared" ref="G300" si="708">F300-E300</f>
        <v>-79</v>
      </c>
      <c r="H300" s="49">
        <f t="shared" ref="H300" si="709">(F300-F299)/F299</f>
        <v>-5.434782608695652E-3</v>
      </c>
      <c r="I300" s="57">
        <f t="shared" ref="I300" si="710">(E300-E299)/E299</f>
        <v>-6.118143459915612E-2</v>
      </c>
      <c r="J300" s="30">
        <f t="shared" ref="J300" si="711">E300-E299</f>
        <v>-29</v>
      </c>
      <c r="K300" s="13">
        <f t="shared" ref="K300" si="712">(F300-F248)/F248</f>
        <v>-0.27380952380952384</v>
      </c>
      <c r="L300" s="3">
        <f t="shared" ref="L300" si="713">AVERAGE(F144,F196,F248)</f>
        <v>481.66666666666669</v>
      </c>
      <c r="M300" s="3"/>
    </row>
    <row r="301" spans="1:13" ht="14.25" x14ac:dyDescent="0.2">
      <c r="A301" s="21">
        <f t="shared" si="573"/>
        <v>40698</v>
      </c>
      <c r="B301" s="3">
        <f>11+228+1+43</f>
        <v>283</v>
      </c>
      <c r="C301" s="3">
        <f>5+0+0+2</f>
        <v>7</v>
      </c>
      <c r="D301" s="3">
        <f>3+40+0+13</f>
        <v>56</v>
      </c>
      <c r="E301" s="11">
        <f t="shared" si="695"/>
        <v>346</v>
      </c>
      <c r="F301" s="12">
        <v>319</v>
      </c>
      <c r="G301" s="15">
        <f t="shared" ref="G301" si="714">F301-E301</f>
        <v>-27</v>
      </c>
      <c r="H301" s="49">
        <f t="shared" ref="H301" si="715">(F301-F300)/F300</f>
        <v>-0.12841530054644809</v>
      </c>
      <c r="I301" s="57">
        <f t="shared" ref="I301" si="716">(E301-E300)/E300</f>
        <v>-0.22247191011235956</v>
      </c>
      <c r="J301" s="30">
        <f t="shared" ref="J301" si="717">E301-E300</f>
        <v>-99</v>
      </c>
      <c r="K301" s="13">
        <f t="shared" ref="K301" si="718">(F301-F249)/F249</f>
        <v>-0.41894353369763204</v>
      </c>
      <c r="L301" s="3">
        <f t="shared" ref="L301" si="719">AVERAGE(F145,F197,F249)</f>
        <v>507.33333333333331</v>
      </c>
      <c r="M301" s="3"/>
    </row>
    <row r="302" spans="1:13" ht="14.25" x14ac:dyDescent="0.2">
      <c r="A302" s="21">
        <f t="shared" si="573"/>
        <v>40705</v>
      </c>
      <c r="B302" s="3">
        <f>3+252+1+52</f>
        <v>308</v>
      </c>
      <c r="C302" s="3">
        <f>13+2+6+3</f>
        <v>24</v>
      </c>
      <c r="D302" s="3">
        <f>3+28+0+6</f>
        <v>37</v>
      </c>
      <c r="E302" s="11">
        <f t="shared" si="695"/>
        <v>369</v>
      </c>
      <c r="F302" s="12">
        <v>297</v>
      </c>
      <c r="G302" s="15">
        <f t="shared" ref="G302" si="720">F302-E302</f>
        <v>-72</v>
      </c>
      <c r="H302" s="49">
        <f t="shared" ref="H302" si="721">(F302-F301)/F301</f>
        <v>-6.8965517241379309E-2</v>
      </c>
      <c r="I302" s="57">
        <f t="shared" ref="I302" si="722">(E302-E301)/E301</f>
        <v>6.6473988439306353E-2</v>
      </c>
      <c r="J302" s="30">
        <f t="shared" ref="J302" si="723">E302-E301</f>
        <v>23</v>
      </c>
      <c r="K302" s="13">
        <f t="shared" ref="K302" si="724">(F302-F250)/F250</f>
        <v>-0.36266094420600858</v>
      </c>
      <c r="L302" s="3">
        <f t="shared" ref="L302" si="725">AVERAGE(F146,F198,F250)</f>
        <v>541</v>
      </c>
      <c r="M302" s="3"/>
    </row>
    <row r="303" spans="1:13" ht="14.25" x14ac:dyDescent="0.2">
      <c r="A303" s="21">
        <f t="shared" si="573"/>
        <v>40712</v>
      </c>
      <c r="B303" s="3">
        <f>1+152+0+39</f>
        <v>192</v>
      </c>
      <c r="C303" s="3">
        <f>11+0+0+4</f>
        <v>15</v>
      </c>
      <c r="D303" s="3">
        <f>0+21+0+4</f>
        <v>25</v>
      </c>
      <c r="E303" s="11">
        <f t="shared" si="695"/>
        <v>232</v>
      </c>
      <c r="F303" s="12">
        <v>365</v>
      </c>
      <c r="G303" s="15">
        <f t="shared" ref="G303" si="726">F303-E303</f>
        <v>133</v>
      </c>
      <c r="H303" s="49">
        <f t="shared" ref="H303" si="727">(F303-F302)/F302</f>
        <v>0.22895622895622897</v>
      </c>
      <c r="I303" s="57">
        <f t="shared" ref="I303" si="728">(E303-E302)/E302</f>
        <v>-0.37127371273712739</v>
      </c>
      <c r="J303" s="30">
        <f t="shared" ref="J303" si="729">E303-E302</f>
        <v>-137</v>
      </c>
      <c r="K303" s="13">
        <f t="shared" ref="K303" si="730">(F303-F251)/F251</f>
        <v>-0.20131291028446391</v>
      </c>
      <c r="L303" s="3">
        <f t="shared" ref="L303" si="731">AVERAGE(F147,F199,F251)</f>
        <v>544.33333333333337</v>
      </c>
      <c r="M303" s="3"/>
    </row>
    <row r="304" spans="1:13" ht="14.25" x14ac:dyDescent="0.2">
      <c r="A304" s="21">
        <f t="shared" si="573"/>
        <v>40719</v>
      </c>
      <c r="B304" s="3">
        <f>0+207+0+61</f>
        <v>268</v>
      </c>
      <c r="C304" s="3">
        <f>16+0+7+1</f>
        <v>24</v>
      </c>
      <c r="D304" s="3">
        <f>17+12+0+3</f>
        <v>32</v>
      </c>
      <c r="E304" s="11">
        <f t="shared" si="695"/>
        <v>324</v>
      </c>
      <c r="F304" s="12">
        <v>416</v>
      </c>
      <c r="G304" s="15">
        <f t="shared" ref="G304" si="732">F304-E304</f>
        <v>92</v>
      </c>
      <c r="H304" s="49">
        <f t="shared" ref="H304" si="733">(F304-F303)/F303</f>
        <v>0.13972602739726028</v>
      </c>
      <c r="I304" s="57">
        <f t="shared" ref="I304" si="734">(E304-E303)/E303</f>
        <v>0.39655172413793105</v>
      </c>
      <c r="J304" s="30">
        <f t="shared" ref="J304" si="735">E304-E303</f>
        <v>92</v>
      </c>
      <c r="K304" s="13">
        <f t="shared" ref="K304" si="736">(F304-F252)/F252</f>
        <v>-0.15789473684210525</v>
      </c>
      <c r="L304" s="3">
        <f t="shared" ref="L304" si="737">AVERAGE(F148,F200,F252)</f>
        <v>508</v>
      </c>
      <c r="M304" s="3"/>
    </row>
    <row r="305" spans="1:13" ht="14.25" x14ac:dyDescent="0.2">
      <c r="A305" s="21">
        <f t="shared" si="573"/>
        <v>40726</v>
      </c>
      <c r="B305" s="3">
        <f>5+302+0+64</f>
        <v>371</v>
      </c>
      <c r="C305" s="3">
        <f>19+0+3+3</f>
        <v>25</v>
      </c>
      <c r="D305" s="3">
        <f>34+10+0+6</f>
        <v>50</v>
      </c>
      <c r="E305" s="11">
        <f t="shared" si="695"/>
        <v>446</v>
      </c>
      <c r="F305" s="12">
        <v>415</v>
      </c>
      <c r="G305" s="15">
        <f t="shared" ref="G305" si="738">F305-E305</f>
        <v>-31</v>
      </c>
      <c r="H305" s="49">
        <f t="shared" ref="H305" si="739">(F305-F304)/F304</f>
        <v>-2.403846153846154E-3</v>
      </c>
      <c r="I305" s="57">
        <f t="shared" ref="I305" si="740">(E305-E304)/E304</f>
        <v>0.37654320987654322</v>
      </c>
      <c r="J305" s="30">
        <f t="shared" ref="J305" si="741">E305-E304</f>
        <v>122</v>
      </c>
      <c r="K305" s="13">
        <f t="shared" ref="K305" si="742">(F305-F253)/F253</f>
        <v>-8.3885209713024281E-2</v>
      </c>
      <c r="L305" s="3">
        <f t="shared" ref="L305" si="743">AVERAGE(F149,F201,F253)</f>
        <v>480</v>
      </c>
      <c r="M305" s="3"/>
    </row>
    <row r="306" spans="1:13" ht="14.25" x14ac:dyDescent="0.2">
      <c r="A306" s="21">
        <f t="shared" si="573"/>
        <v>40733</v>
      </c>
      <c r="B306" s="3">
        <f>8+309+1+33</f>
        <v>351</v>
      </c>
      <c r="C306" s="3">
        <f>7+0+2+2</f>
        <v>11</v>
      </c>
      <c r="D306" s="3">
        <f>40+12+0+12</f>
        <v>64</v>
      </c>
      <c r="E306" s="11">
        <f t="shared" si="695"/>
        <v>426</v>
      </c>
      <c r="F306" s="12">
        <v>435</v>
      </c>
      <c r="G306" s="15">
        <f t="shared" ref="G306" si="744">F306-E306</f>
        <v>9</v>
      </c>
      <c r="H306" s="49">
        <f t="shared" ref="H306" si="745">(F306-F305)/F305</f>
        <v>4.8192771084337352E-2</v>
      </c>
      <c r="I306" s="57">
        <f t="shared" ref="I306" si="746">(E306-E305)/E305</f>
        <v>-4.4843049327354258E-2</v>
      </c>
      <c r="J306" s="30">
        <f t="shared" ref="J306" si="747">E306-E305</f>
        <v>-20</v>
      </c>
      <c r="K306" s="13">
        <f t="shared" ref="K306" si="748">(F306-F254)/F254</f>
        <v>-0.11224489795918367</v>
      </c>
      <c r="L306" s="3">
        <f t="shared" ref="L306" si="749">AVERAGE(F150,F202,F254)</f>
        <v>484</v>
      </c>
      <c r="M306" s="3"/>
    </row>
    <row r="307" spans="1:13" ht="14.25" x14ac:dyDescent="0.2">
      <c r="A307" s="21">
        <f t="shared" si="573"/>
        <v>40740</v>
      </c>
      <c r="B307" s="3">
        <f>0+330+1+61</f>
        <v>392</v>
      </c>
      <c r="C307" s="3">
        <f>18+0+3+3</f>
        <v>24</v>
      </c>
      <c r="D307" s="3">
        <f>10+7+1+29</f>
        <v>47</v>
      </c>
      <c r="E307" s="11">
        <f t="shared" si="695"/>
        <v>463</v>
      </c>
      <c r="F307" s="12">
        <v>495</v>
      </c>
      <c r="G307" s="15">
        <f t="shared" ref="G307" si="750">F307-E307</f>
        <v>32</v>
      </c>
      <c r="H307" s="49">
        <f t="shared" ref="H307" si="751">(F307-F306)/F306</f>
        <v>0.13793103448275862</v>
      </c>
      <c r="I307" s="57">
        <f t="shared" ref="I307" si="752">(E307-E306)/E306</f>
        <v>8.6854460093896718E-2</v>
      </c>
      <c r="J307" s="30">
        <f t="shared" ref="J307" si="753">E307-E306</f>
        <v>37</v>
      </c>
      <c r="K307" s="13">
        <f t="shared" ref="K307" si="754">(F307-F255)/F255</f>
        <v>-6.0721062618595827E-2</v>
      </c>
      <c r="L307" s="3">
        <f t="shared" ref="L307" si="755">AVERAGE(F151,F203,F255)</f>
        <v>494</v>
      </c>
      <c r="M307" s="3"/>
    </row>
    <row r="308" spans="1:13" ht="14.25" x14ac:dyDescent="0.2">
      <c r="A308" s="21">
        <f t="shared" si="573"/>
        <v>40747</v>
      </c>
      <c r="B308" s="3">
        <f>5+303+5+66</f>
        <v>379</v>
      </c>
      <c r="C308" s="3">
        <f>10+0+14+1</f>
        <v>25</v>
      </c>
      <c r="D308" s="3">
        <f>16+13+1+7</f>
        <v>37</v>
      </c>
      <c r="E308" s="11">
        <f t="shared" si="695"/>
        <v>441</v>
      </c>
      <c r="F308" s="12">
        <v>449</v>
      </c>
      <c r="G308" s="15">
        <f t="shared" ref="G308" si="756">F308-E308</f>
        <v>8</v>
      </c>
      <c r="H308" s="49">
        <f t="shared" ref="H308" si="757">(F308-F307)/F307</f>
        <v>-9.2929292929292931E-2</v>
      </c>
      <c r="I308" s="57">
        <f t="shared" ref="I308" si="758">(E308-E307)/E307</f>
        <v>-4.7516198704103674E-2</v>
      </c>
      <c r="J308" s="30">
        <f t="shared" ref="J308" si="759">E308-E307</f>
        <v>-22</v>
      </c>
      <c r="K308" s="13">
        <f t="shared" ref="K308" si="760">(F308-F256)/F256</f>
        <v>9.5121951219512196E-2</v>
      </c>
      <c r="L308" s="3">
        <f t="shared" ref="L308" si="761">AVERAGE(F152,F204,F256)</f>
        <v>491.66666666666669</v>
      </c>
      <c r="M308" s="3"/>
    </row>
    <row r="309" spans="1:13" ht="14.25" x14ac:dyDescent="0.2">
      <c r="A309" s="21">
        <f t="shared" si="573"/>
        <v>40754</v>
      </c>
      <c r="B309" s="3">
        <f>2+360+0+68</f>
        <v>430</v>
      </c>
      <c r="C309" s="3">
        <f>22+0+5+1</f>
        <v>28</v>
      </c>
      <c r="D309" s="3">
        <f>19+11+11+7</f>
        <v>48</v>
      </c>
      <c r="E309" s="11">
        <f t="shared" si="695"/>
        <v>506</v>
      </c>
      <c r="F309" s="12">
        <v>386</v>
      </c>
      <c r="G309" s="15">
        <f t="shared" ref="G309" si="762">F309-E309</f>
        <v>-120</v>
      </c>
      <c r="H309" s="49">
        <f t="shared" ref="H309" si="763">(F309-F308)/F308</f>
        <v>-0.14031180400890869</v>
      </c>
      <c r="I309" s="57">
        <f t="shared" ref="I309" si="764">(E309-E308)/E308</f>
        <v>0.14739229024943309</v>
      </c>
      <c r="J309" s="30">
        <f t="shared" ref="J309" si="765">E309-E308</f>
        <v>65</v>
      </c>
      <c r="K309" s="13">
        <f t="shared" ref="K309" si="766">(F309-F257)/F257</f>
        <v>6.043956043956044E-2</v>
      </c>
      <c r="L309" s="3">
        <f t="shared" ref="L309" si="767">AVERAGE(F153,F205,F257)</f>
        <v>434.33333333333331</v>
      </c>
      <c r="M309" s="3"/>
    </row>
    <row r="310" spans="1:13" ht="14.25" x14ac:dyDescent="0.2">
      <c r="A310" s="21">
        <f t="shared" si="573"/>
        <v>40761</v>
      </c>
      <c r="B310" s="3">
        <f>0+300+0+44</f>
        <v>344</v>
      </c>
      <c r="C310" s="3">
        <f>7+0+8+4</f>
        <v>19</v>
      </c>
      <c r="D310" s="3">
        <f>16+10+0+10</f>
        <v>36</v>
      </c>
      <c r="E310" s="11">
        <f t="shared" si="695"/>
        <v>399</v>
      </c>
      <c r="F310" s="12">
        <v>473</v>
      </c>
      <c r="G310" s="15">
        <f t="shared" ref="G310" si="768">F310-E310</f>
        <v>74</v>
      </c>
      <c r="H310" s="49">
        <f t="shared" ref="H310" si="769">(F310-F309)/F309</f>
        <v>0.22538860103626943</v>
      </c>
      <c r="I310" s="57">
        <f t="shared" ref="I310" si="770">(E310-E309)/E309</f>
        <v>-0.21146245059288538</v>
      </c>
      <c r="J310" s="30">
        <f t="shared" ref="J310" si="771">E310-E309</f>
        <v>-107</v>
      </c>
      <c r="K310" s="13">
        <f t="shared" ref="K310" si="772">(F310-F258)/F258</f>
        <v>3.9560439560439559E-2</v>
      </c>
      <c r="L310" s="3">
        <f t="shared" ref="L310" si="773">AVERAGE(F154,F206,F258)</f>
        <v>552.66666666666663</v>
      </c>
      <c r="M310" s="3"/>
    </row>
    <row r="311" spans="1:13" ht="14.25" x14ac:dyDescent="0.2">
      <c r="A311" s="21">
        <f t="shared" si="573"/>
        <v>40768</v>
      </c>
      <c r="B311" s="3">
        <f>0+248+0+59</f>
        <v>307</v>
      </c>
      <c r="C311" s="3">
        <f>16+0+6+0</f>
        <v>22</v>
      </c>
      <c r="D311" s="3">
        <f>18+3+0+2</f>
        <v>23</v>
      </c>
      <c r="E311" s="11">
        <f t="shared" si="695"/>
        <v>352</v>
      </c>
      <c r="F311" s="12">
        <v>532</v>
      </c>
      <c r="G311" s="15">
        <f t="shared" ref="G311:G312" si="774">F311-E311</f>
        <v>180</v>
      </c>
      <c r="H311" s="49">
        <f t="shared" ref="H311:H312" si="775">(F311-F310)/F310</f>
        <v>0.12473572938689217</v>
      </c>
      <c r="I311" s="57">
        <f t="shared" ref="I311:I312" si="776">(E311-E310)/E310</f>
        <v>-0.11779448621553884</v>
      </c>
      <c r="J311" s="30">
        <f t="shared" ref="J311:J312" si="777">E311-E310</f>
        <v>-47</v>
      </c>
      <c r="K311" s="13">
        <f t="shared" ref="K311" si="778">(F311-F259)/F259</f>
        <v>5.1383399209486168E-2</v>
      </c>
      <c r="L311" s="3">
        <f t="shared" ref="L311" si="779">AVERAGE(F155,F207,F259)</f>
        <v>511</v>
      </c>
      <c r="M311" s="3"/>
    </row>
    <row r="312" spans="1:13" ht="14.25" x14ac:dyDescent="0.2">
      <c r="A312" s="21">
        <f t="shared" si="573"/>
        <v>40775</v>
      </c>
      <c r="B312" s="3">
        <f>0+244+0+46+43</f>
        <v>333</v>
      </c>
      <c r="C312" s="3">
        <f>12+1+2</f>
        <v>15</v>
      </c>
      <c r="D312" s="3">
        <f>8+6+10+16</f>
        <v>40</v>
      </c>
      <c r="E312" s="11">
        <f t="shared" si="695"/>
        <v>388</v>
      </c>
      <c r="F312" s="12">
        <v>433</v>
      </c>
      <c r="G312" s="15">
        <f t="shared" si="774"/>
        <v>45</v>
      </c>
      <c r="H312" s="49">
        <f t="shared" si="775"/>
        <v>-0.18609022556390978</v>
      </c>
      <c r="I312" s="57">
        <f t="shared" si="776"/>
        <v>0.10227272727272728</v>
      </c>
      <c r="J312" s="30">
        <f t="shared" si="777"/>
        <v>36</v>
      </c>
      <c r="K312" s="13">
        <f t="shared" ref="K312" si="780">(F312-F260)/F260</f>
        <v>-0.17992424242424243</v>
      </c>
      <c r="L312" s="3">
        <f t="shared" ref="L312" si="781">AVERAGE(F156,F208,F260)</f>
        <v>532.33333333333337</v>
      </c>
    </row>
    <row r="313" spans="1:13" ht="14.25" x14ac:dyDescent="0.2">
      <c r="A313" s="21">
        <f t="shared" si="573"/>
        <v>40782</v>
      </c>
      <c r="B313" s="3">
        <f>1+188+4+40</f>
        <v>233</v>
      </c>
      <c r="C313" s="3">
        <f>4+9+5+1</f>
        <v>19</v>
      </c>
      <c r="D313" s="3">
        <f>18+4+0+16</f>
        <v>38</v>
      </c>
      <c r="E313" s="11">
        <f t="shared" ref="E313:E325" si="782">SUM(B313:D313)</f>
        <v>290</v>
      </c>
      <c r="F313" s="12">
        <v>489</v>
      </c>
      <c r="G313" s="15">
        <f t="shared" ref="G313:G318" si="783">F313-E313</f>
        <v>199</v>
      </c>
      <c r="H313" s="49">
        <f t="shared" ref="H313" si="784">(F313-F312)/F312</f>
        <v>0.12933025404157045</v>
      </c>
      <c r="I313" s="57">
        <f t="shared" ref="I313:I318" si="785">(E313-E312)/E312</f>
        <v>-0.25257731958762886</v>
      </c>
      <c r="J313" s="30">
        <f t="shared" ref="J313:J318" si="786">E313-E312</f>
        <v>-98</v>
      </c>
      <c r="K313" s="13">
        <f t="shared" ref="K313" si="787">(F313-F261)/F261</f>
        <v>8.666666666666667E-2</v>
      </c>
      <c r="L313" s="3">
        <f t="shared" ref="L313" si="788">AVERAGE(F157,F209,F261)</f>
        <v>449.66666666666669</v>
      </c>
    </row>
    <row r="314" spans="1:13" ht="14.25" x14ac:dyDescent="0.2">
      <c r="A314" s="21">
        <f t="shared" si="573"/>
        <v>40789</v>
      </c>
      <c r="B314" s="3">
        <f>4+134+10+26</f>
        <v>174</v>
      </c>
      <c r="C314" s="3">
        <f>8+19+1+2</f>
        <v>30</v>
      </c>
      <c r="D314" s="3">
        <f>14+4+0+7</f>
        <v>25</v>
      </c>
      <c r="E314" s="11">
        <f t="shared" si="782"/>
        <v>229</v>
      </c>
      <c r="F314" s="12">
        <v>341</v>
      </c>
      <c r="G314" s="15">
        <f t="shared" si="783"/>
        <v>112</v>
      </c>
      <c r="H314" s="49">
        <f t="shared" ref="H314" si="789">(F314-F313)/F313</f>
        <v>-0.30265848670756645</v>
      </c>
      <c r="I314" s="57">
        <f t="shared" si="785"/>
        <v>-0.2103448275862069</v>
      </c>
      <c r="J314" s="30">
        <f t="shared" si="786"/>
        <v>-61</v>
      </c>
      <c r="K314" s="13">
        <f t="shared" ref="K314" si="790">(F314-F262)/F262</f>
        <v>-0.36499068901303539</v>
      </c>
      <c r="L314" s="3">
        <f t="shared" ref="L314" si="791">AVERAGE(F158,F210,F262)</f>
        <v>395</v>
      </c>
    </row>
    <row r="315" spans="1:13" ht="14.25" x14ac:dyDescent="0.2">
      <c r="A315" s="21">
        <f t="shared" si="573"/>
        <v>40796</v>
      </c>
      <c r="B315" s="3">
        <f>1+140+6+24</f>
        <v>171</v>
      </c>
      <c r="C315" s="3">
        <f>2+12+1+0</f>
        <v>15</v>
      </c>
      <c r="D315" s="3">
        <f>10+12+0+9</f>
        <v>31</v>
      </c>
      <c r="E315" s="11">
        <f t="shared" si="782"/>
        <v>217</v>
      </c>
      <c r="F315" s="12">
        <v>420</v>
      </c>
      <c r="G315" s="15">
        <f t="shared" si="783"/>
        <v>203</v>
      </c>
      <c r="H315" s="49">
        <f t="shared" ref="H315" si="792">(F315-F314)/F314</f>
        <v>0.2316715542521994</v>
      </c>
      <c r="I315" s="57">
        <f t="shared" si="785"/>
        <v>-5.2401746724890827E-2</v>
      </c>
      <c r="J315" s="30">
        <f t="shared" si="786"/>
        <v>-12</v>
      </c>
      <c r="K315" s="13">
        <f t="shared" ref="K315" si="793">(F315-F263)/F263</f>
        <v>-1.8691588785046728E-2</v>
      </c>
      <c r="L315" s="3">
        <f t="shared" ref="L315" si="794">AVERAGE(F159,F211,F263)</f>
        <v>454.66666666666669</v>
      </c>
    </row>
    <row r="316" spans="1:13" ht="14.25" x14ac:dyDescent="0.2">
      <c r="A316" s="21">
        <f t="shared" si="573"/>
        <v>40803</v>
      </c>
      <c r="B316" s="3">
        <f>2+77+0+18</f>
        <v>97</v>
      </c>
      <c r="C316" s="3">
        <f>12+8+1+6</f>
        <v>27</v>
      </c>
      <c r="D316" s="3">
        <f>8+47+0+23</f>
        <v>78</v>
      </c>
      <c r="E316" s="11">
        <f t="shared" si="782"/>
        <v>202</v>
      </c>
      <c r="F316" s="12">
        <v>389</v>
      </c>
      <c r="G316" s="15">
        <f t="shared" si="783"/>
        <v>187</v>
      </c>
      <c r="H316" s="49">
        <f t="shared" ref="H316" si="795">(F316-F315)/F315</f>
        <v>-7.3809523809523811E-2</v>
      </c>
      <c r="I316" s="57">
        <f t="shared" si="785"/>
        <v>-6.9124423963133647E-2</v>
      </c>
      <c r="J316" s="30">
        <f t="shared" si="786"/>
        <v>-15</v>
      </c>
      <c r="K316" s="13">
        <f t="shared" ref="K316" si="796">(F316-F264)/F264</f>
        <v>-0.28884826325411334</v>
      </c>
      <c r="L316" s="3">
        <f t="shared" ref="L316" si="797">AVERAGE(F160,F212,F264)</f>
        <v>552.33333333333337</v>
      </c>
    </row>
    <row r="317" spans="1:13" ht="14.25" x14ac:dyDescent="0.2">
      <c r="A317" s="21">
        <f t="shared" si="573"/>
        <v>40810</v>
      </c>
      <c r="B317" s="3">
        <f>1+85+0+7</f>
        <v>93</v>
      </c>
      <c r="C317" s="3">
        <f>4+5+2+6</f>
        <v>17</v>
      </c>
      <c r="D317" s="3">
        <f>2+72+0+2</f>
        <v>76</v>
      </c>
      <c r="E317" s="11">
        <f t="shared" si="782"/>
        <v>186</v>
      </c>
      <c r="F317" s="12">
        <v>504</v>
      </c>
      <c r="G317" s="15">
        <f t="shared" si="783"/>
        <v>318</v>
      </c>
      <c r="H317" s="49">
        <f t="shared" ref="H317" si="798">(F317-F316)/F316</f>
        <v>0.29562982005141386</v>
      </c>
      <c r="I317" s="57">
        <f t="shared" si="785"/>
        <v>-7.9207920792079209E-2</v>
      </c>
      <c r="J317" s="30">
        <f t="shared" si="786"/>
        <v>-16</v>
      </c>
      <c r="K317" s="13">
        <f t="shared" ref="K317" si="799">(F317-F265)/F265</f>
        <v>-0.19617224880382775</v>
      </c>
      <c r="L317" s="3">
        <f t="shared" ref="L317" si="800">AVERAGE(F161,F213,F265)</f>
        <v>584.33333333333337</v>
      </c>
    </row>
    <row r="318" spans="1:13" ht="14.25" x14ac:dyDescent="0.2">
      <c r="A318" s="21">
        <f t="shared" si="573"/>
        <v>40817</v>
      </c>
      <c r="B318" s="3">
        <f>3+142+2+4</f>
        <v>151</v>
      </c>
      <c r="C318" s="3">
        <f>8+5+1+7</f>
        <v>21</v>
      </c>
      <c r="D318" s="3">
        <f>1+41+0+2</f>
        <v>44</v>
      </c>
      <c r="E318" s="11">
        <f t="shared" si="782"/>
        <v>216</v>
      </c>
      <c r="F318" s="12">
        <v>530</v>
      </c>
      <c r="G318" s="15">
        <f t="shared" si="783"/>
        <v>314</v>
      </c>
      <c r="H318" s="49">
        <f t="shared" ref="H318" si="801">(F318-F317)/F317</f>
        <v>5.1587301587301584E-2</v>
      </c>
      <c r="I318" s="57">
        <f t="shared" si="785"/>
        <v>0.16129032258064516</v>
      </c>
      <c r="J318" s="30">
        <f t="shared" si="786"/>
        <v>30</v>
      </c>
      <c r="K318" s="13">
        <f t="shared" ref="K318" si="802">(F318-F266)/F266</f>
        <v>-0.13398692810457516</v>
      </c>
      <c r="L318" s="3">
        <f t="shared" ref="L318" si="803">AVERAGE(F162,F214,F266)</f>
        <v>528.66666666666663</v>
      </c>
    </row>
    <row r="319" spans="1:13" ht="14.25" x14ac:dyDescent="0.2">
      <c r="A319" s="21">
        <f t="shared" si="573"/>
        <v>40824</v>
      </c>
      <c r="B319" s="3">
        <f>1+119+0+10</f>
        <v>130</v>
      </c>
      <c r="C319" s="3">
        <f>4+1+0+31</f>
        <v>36</v>
      </c>
      <c r="D319" s="3">
        <f>4+69+0+22</f>
        <v>95</v>
      </c>
      <c r="E319" s="11">
        <f t="shared" si="782"/>
        <v>261</v>
      </c>
      <c r="F319" s="12">
        <v>487</v>
      </c>
      <c r="G319" s="15">
        <f t="shared" ref="G319" si="804">F319-E319</f>
        <v>226</v>
      </c>
      <c r="H319" s="49">
        <f t="shared" ref="H319" si="805">(F319-F318)/F318</f>
        <v>-8.1132075471698109E-2</v>
      </c>
      <c r="I319" s="57">
        <f t="shared" ref="I319" si="806">(E319-E318)/E318</f>
        <v>0.20833333333333334</v>
      </c>
      <c r="J319" s="30">
        <f t="shared" ref="J319" si="807">E319-E318</f>
        <v>45</v>
      </c>
      <c r="K319" s="13">
        <f t="shared" ref="K319" si="808">(F319-F267)/F267</f>
        <v>-0.24961479198767333</v>
      </c>
      <c r="L319" s="3">
        <f t="shared" ref="L319" si="809">AVERAGE(F163,F215,F267)</f>
        <v>543.33333333333337</v>
      </c>
    </row>
    <row r="320" spans="1:13" ht="14.25" x14ac:dyDescent="0.2">
      <c r="A320" s="21">
        <f t="shared" si="573"/>
        <v>40831</v>
      </c>
      <c r="B320" s="3">
        <f>4+146+0+99</f>
        <v>249</v>
      </c>
      <c r="C320" s="3">
        <f>10+0+1+29</f>
        <v>40</v>
      </c>
      <c r="D320" s="3">
        <f>7+58+4+27</f>
        <v>96</v>
      </c>
      <c r="E320" s="11">
        <f t="shared" si="782"/>
        <v>385</v>
      </c>
      <c r="F320" s="12">
        <v>519</v>
      </c>
      <c r="G320" s="15">
        <f t="shared" ref="G320" si="810">F320-E320</f>
        <v>134</v>
      </c>
      <c r="H320" s="49">
        <f t="shared" ref="H320" si="811">(F320-F319)/F319</f>
        <v>6.5708418891170434E-2</v>
      </c>
      <c r="I320" s="57">
        <f t="shared" ref="I320" si="812">(E320-E319)/E319</f>
        <v>0.47509578544061304</v>
      </c>
      <c r="J320" s="30">
        <f t="shared" ref="J320" si="813">E320-E319</f>
        <v>124</v>
      </c>
      <c r="K320" s="13">
        <f t="shared" ref="K320" si="814">(F320-F268)/F268</f>
        <v>-0.26798307475317351</v>
      </c>
      <c r="L320" s="3">
        <f t="shared" ref="L320" si="815">AVERAGE(F164,F216,F268)</f>
        <v>594.33333333333337</v>
      </c>
      <c r="M320" s="29" t="s">
        <v>38</v>
      </c>
    </row>
    <row r="321" spans="1:12" ht="14.25" x14ac:dyDescent="0.2">
      <c r="A321" s="21">
        <f t="shared" si="573"/>
        <v>40838</v>
      </c>
      <c r="B321" s="3">
        <f>0+110+9+160</f>
        <v>279</v>
      </c>
      <c r="C321" s="3">
        <f>9+0+1+22</f>
        <v>32</v>
      </c>
      <c r="D321" s="3">
        <f>0+69+3+51</f>
        <v>123</v>
      </c>
      <c r="E321" s="11">
        <f t="shared" si="782"/>
        <v>434</v>
      </c>
      <c r="F321" s="12">
        <v>625</v>
      </c>
      <c r="G321" s="15">
        <f t="shared" ref="G321" si="816">F321-E321</f>
        <v>191</v>
      </c>
      <c r="H321" s="49">
        <f t="shared" ref="H321" si="817">(F321-F320)/F320</f>
        <v>0.20423892100192678</v>
      </c>
      <c r="I321" s="57">
        <f t="shared" ref="I321" si="818">(E321-E320)/E320</f>
        <v>0.12727272727272726</v>
      </c>
      <c r="J321" s="30">
        <f t="shared" ref="J321" si="819">E321-E320</f>
        <v>49</v>
      </c>
      <c r="K321" s="13">
        <f t="shared" ref="K321" si="820">(F321-F269)/F269</f>
        <v>-3.6979969183359017E-2</v>
      </c>
      <c r="L321" s="3">
        <f t="shared" ref="L321" si="821">AVERAGE(F165,F217,F269)</f>
        <v>595.33333333333337</v>
      </c>
    </row>
    <row r="322" spans="1:12" ht="14.25" x14ac:dyDescent="0.2">
      <c r="A322" s="21">
        <f t="shared" si="573"/>
        <v>40845</v>
      </c>
      <c r="B322" s="3">
        <f>0+118+12+96</f>
        <v>226</v>
      </c>
      <c r="C322" s="3">
        <f>6+0+3+21</f>
        <v>30</v>
      </c>
      <c r="D322" s="3">
        <f>0+90+0+89</f>
        <v>179</v>
      </c>
      <c r="E322" s="11">
        <f t="shared" si="782"/>
        <v>435</v>
      </c>
      <c r="F322" s="12">
        <v>693</v>
      </c>
      <c r="G322" s="15">
        <f t="shared" ref="G322" si="822">F322-E322</f>
        <v>258</v>
      </c>
      <c r="H322" s="49">
        <f t="shared" ref="H322" si="823">(F322-F321)/F321</f>
        <v>0.10879999999999999</v>
      </c>
      <c r="I322" s="57">
        <f t="shared" ref="I322" si="824">(E322-E321)/E321</f>
        <v>2.304147465437788E-3</v>
      </c>
      <c r="J322" s="30">
        <f t="shared" ref="J322" si="825">E322-E321</f>
        <v>1</v>
      </c>
      <c r="K322" s="13">
        <f t="shared" ref="K322" si="826">(F322-F270)/F270</f>
        <v>-2.2566995768688293E-2</v>
      </c>
      <c r="L322" s="3">
        <f t="shared" ref="L322" si="827">AVERAGE(F166,F218,F270)</f>
        <v>596</v>
      </c>
    </row>
    <row r="323" spans="1:12" ht="14.25" x14ac:dyDescent="0.2">
      <c r="A323" s="21">
        <f t="shared" si="573"/>
        <v>40852</v>
      </c>
      <c r="B323" s="3">
        <f>0+215+1+99</f>
        <v>315</v>
      </c>
      <c r="C323" s="3">
        <f>5+0+0+24</f>
        <v>29</v>
      </c>
      <c r="D323" s="3">
        <f>1+45+0+66</f>
        <v>112</v>
      </c>
      <c r="E323" s="11">
        <f t="shared" si="782"/>
        <v>456</v>
      </c>
      <c r="F323" s="12">
        <v>719</v>
      </c>
      <c r="G323" s="15">
        <f t="shared" ref="G323" si="828">F323-E323</f>
        <v>263</v>
      </c>
      <c r="H323" s="49">
        <f t="shared" ref="H323" si="829">(F323-F322)/F322</f>
        <v>3.751803751803752E-2</v>
      </c>
      <c r="I323" s="57">
        <f t="shared" ref="I323" si="830">(E323-E322)/E322</f>
        <v>4.8275862068965517E-2</v>
      </c>
      <c r="J323" s="30">
        <f t="shared" ref="J323" si="831">E323-E322</f>
        <v>21</v>
      </c>
      <c r="K323" s="13">
        <f t="shared" ref="K323" si="832">(F323-F271)/F271</f>
        <v>0.10615384615384615</v>
      </c>
      <c r="L323" s="3">
        <f t="shared" ref="L323" si="833">AVERAGE(F167,F219,F271)</f>
        <v>640.66666666666663</v>
      </c>
    </row>
    <row r="324" spans="1:12" ht="14.25" x14ac:dyDescent="0.2">
      <c r="A324" s="21">
        <f t="shared" si="573"/>
        <v>40859</v>
      </c>
      <c r="B324" s="3">
        <f>0+189+3+95</f>
        <v>287</v>
      </c>
      <c r="C324" s="3">
        <f>4+0+1+19</f>
        <v>24</v>
      </c>
      <c r="D324" s="3">
        <f>12+33+0+85</f>
        <v>130</v>
      </c>
      <c r="E324" s="11">
        <f t="shared" si="782"/>
        <v>441</v>
      </c>
      <c r="F324" s="12">
        <v>764</v>
      </c>
      <c r="G324" s="15">
        <f t="shared" ref="G324" si="834">F324-E324</f>
        <v>323</v>
      </c>
      <c r="H324" s="49">
        <f t="shared" ref="H324" si="835">(F324-F323)/F323</f>
        <v>6.258692628650904E-2</v>
      </c>
      <c r="I324" s="57">
        <f t="shared" ref="I324" si="836">(E324-E323)/E323</f>
        <v>-3.2894736842105261E-2</v>
      </c>
      <c r="J324" s="30">
        <f t="shared" ref="J324" si="837">E324-E323</f>
        <v>-15</v>
      </c>
      <c r="K324" s="13">
        <f t="shared" ref="K324" si="838">(F324-F272)/F272</f>
        <v>1.1920529801324504E-2</v>
      </c>
      <c r="L324" s="3">
        <f t="shared" ref="L324" si="839">AVERAGE(F168,F220,F272)</f>
        <v>720.66666666666663</v>
      </c>
    </row>
    <row r="325" spans="1:12" ht="14.25" x14ac:dyDescent="0.2">
      <c r="A325" s="21">
        <f t="shared" si="573"/>
        <v>40866</v>
      </c>
      <c r="B325" s="3">
        <f>2+338+1+102</f>
        <v>443</v>
      </c>
      <c r="C325" s="3">
        <f>5+2+2+16</f>
        <v>25</v>
      </c>
      <c r="D325" s="3">
        <f>4+35+1+59</f>
        <v>99</v>
      </c>
      <c r="E325" s="11">
        <f t="shared" si="782"/>
        <v>567</v>
      </c>
      <c r="F325" s="12">
        <v>840</v>
      </c>
      <c r="G325" s="15">
        <f t="shared" ref="G325" si="840">F325-E325</f>
        <v>273</v>
      </c>
      <c r="H325" s="49">
        <f t="shared" ref="H325" si="841">(F325-F324)/F324</f>
        <v>9.947643979057591E-2</v>
      </c>
      <c r="I325" s="57">
        <f t="shared" ref="I325" si="842">(E325-E324)/E324</f>
        <v>0.2857142857142857</v>
      </c>
      <c r="J325" s="30">
        <f t="shared" ref="J325" si="843">E325-E324</f>
        <v>126</v>
      </c>
      <c r="K325" s="13">
        <f t="shared" ref="K325" si="844">(F325-F273)/F273</f>
        <v>8.5271317829457363E-2</v>
      </c>
      <c r="L325" s="3">
        <f t="shared" ref="L325" si="845">AVERAGE(F169,F221,F273)</f>
        <v>682.33333333333337</v>
      </c>
    </row>
    <row r="326" spans="1:12" ht="14.25" x14ac:dyDescent="0.2">
      <c r="A326" s="21">
        <f t="shared" si="573"/>
        <v>40873</v>
      </c>
      <c r="B326" s="3">
        <f>10+425+15+117</f>
        <v>567</v>
      </c>
      <c r="C326" s="3">
        <f>4+0+2+5</f>
        <v>11</v>
      </c>
      <c r="D326" s="3">
        <f>2+24+0+88</f>
        <v>114</v>
      </c>
      <c r="E326" s="11">
        <f t="shared" ref="E326:E343" si="846">SUM(B326:D326)</f>
        <v>692</v>
      </c>
      <c r="F326" s="12">
        <v>667</v>
      </c>
      <c r="G326" s="15">
        <f t="shared" ref="G326" si="847">F326-E326</f>
        <v>-25</v>
      </c>
      <c r="H326" s="49">
        <f t="shared" ref="H326" si="848">(F326-F325)/F325</f>
        <v>-0.20595238095238094</v>
      </c>
      <c r="I326" s="57">
        <f t="shared" ref="I326" si="849">(E326-E325)/E325</f>
        <v>0.22045855379188711</v>
      </c>
      <c r="J326" s="30">
        <f t="shared" ref="J326" si="850">E326-E325</f>
        <v>125</v>
      </c>
      <c r="K326" s="13">
        <f t="shared" ref="K326" si="851">(F326-F274)/F274</f>
        <v>7.5528700906344415E-3</v>
      </c>
      <c r="L326" s="3">
        <f t="shared" ref="L326" si="852">AVERAGE(F170,F222,F274)</f>
        <v>634.33333333333337</v>
      </c>
    </row>
    <row r="327" spans="1:12" ht="14.25" x14ac:dyDescent="0.2">
      <c r="A327" s="21">
        <f t="shared" si="573"/>
        <v>40880</v>
      </c>
      <c r="B327" s="3">
        <f>1+392+11+86</f>
        <v>490</v>
      </c>
      <c r="C327" s="3">
        <f>5+2+2+13</f>
        <v>22</v>
      </c>
      <c r="D327" s="3">
        <f>2+36+4+51</f>
        <v>93</v>
      </c>
      <c r="E327" s="11">
        <f t="shared" si="846"/>
        <v>605</v>
      </c>
      <c r="F327" s="12">
        <v>714</v>
      </c>
      <c r="G327" s="15">
        <f t="shared" ref="G327" si="853">F327-E327</f>
        <v>109</v>
      </c>
      <c r="H327" s="49">
        <f t="shared" ref="H327" si="854">(F327-F326)/F326</f>
        <v>7.0464767616191901E-2</v>
      </c>
      <c r="I327" s="57">
        <f t="shared" ref="I327" si="855">(E327-E326)/E326</f>
        <v>-0.12572254335260116</v>
      </c>
      <c r="J327" s="30">
        <f t="shared" ref="J327" si="856">E327-E326</f>
        <v>-87</v>
      </c>
      <c r="K327" s="13">
        <f t="shared" ref="K327" si="857">(F327-F275)/F275</f>
        <v>-0.10526315789473684</v>
      </c>
      <c r="L327" s="3">
        <f t="shared" ref="L327" si="858">AVERAGE(F171,F223,F275)</f>
        <v>711.66666666666663</v>
      </c>
    </row>
    <row r="328" spans="1:12" ht="14.25" x14ac:dyDescent="0.2">
      <c r="A328" s="21">
        <f t="shared" si="573"/>
        <v>40887</v>
      </c>
      <c r="B328" s="3">
        <f>1+415+0+131</f>
        <v>547</v>
      </c>
      <c r="C328" s="3">
        <f>8+0+3+7</f>
        <v>18</v>
      </c>
      <c r="D328" s="3">
        <f>2+26+0+25</f>
        <v>53</v>
      </c>
      <c r="E328" s="11">
        <f t="shared" si="846"/>
        <v>618</v>
      </c>
      <c r="F328" s="12">
        <v>672</v>
      </c>
      <c r="G328" s="15">
        <f t="shared" ref="G328" si="859">F328-E328</f>
        <v>54</v>
      </c>
      <c r="H328" s="49">
        <f t="shared" ref="H328" si="860">(F328-F327)/F327</f>
        <v>-5.8823529411764705E-2</v>
      </c>
      <c r="I328" s="57">
        <f t="shared" ref="I328" si="861">(E328-E327)/E327</f>
        <v>2.1487603305785124E-2</v>
      </c>
      <c r="J328" s="30">
        <f t="shared" ref="J328" si="862">E328-E327</f>
        <v>13</v>
      </c>
      <c r="K328" s="13">
        <f t="shared" ref="K328" si="863">(F328-F276)/F276</f>
        <v>-0.20567375886524822</v>
      </c>
      <c r="L328" s="3">
        <f t="shared" ref="L328" si="864">AVERAGE(F172,F224,F276)</f>
        <v>699.33333333333337</v>
      </c>
    </row>
    <row r="329" spans="1:12" ht="14.25" x14ac:dyDescent="0.2">
      <c r="A329" s="21">
        <f t="shared" si="573"/>
        <v>40894</v>
      </c>
      <c r="B329" s="3">
        <f>0+259+1+185</f>
        <v>445</v>
      </c>
      <c r="C329" s="3">
        <f>7+0+0+5</f>
        <v>12</v>
      </c>
      <c r="D329" s="3">
        <f>9+39+1+54</f>
        <v>103</v>
      </c>
      <c r="E329" s="11">
        <f t="shared" si="846"/>
        <v>560</v>
      </c>
      <c r="F329" s="12">
        <v>657</v>
      </c>
      <c r="G329" s="15">
        <f t="shared" ref="G329" si="865">F329-E329</f>
        <v>97</v>
      </c>
      <c r="H329" s="49">
        <f t="shared" ref="H329" si="866">(F329-F328)/F328</f>
        <v>-2.2321428571428572E-2</v>
      </c>
      <c r="I329" s="57">
        <f t="shared" ref="I329" si="867">(E329-E328)/E328</f>
        <v>-9.3851132686084138E-2</v>
      </c>
      <c r="J329" s="30">
        <f t="shared" ref="J329" si="868">E329-E328</f>
        <v>-58</v>
      </c>
      <c r="K329" s="13">
        <f t="shared" ref="K329" si="869">(F329-F277)/F277</f>
        <v>-0.10245901639344263</v>
      </c>
      <c r="L329" s="3">
        <f t="shared" ref="L329" si="870">AVERAGE(F173,F225,F277)</f>
        <v>601</v>
      </c>
    </row>
    <row r="330" spans="1:12" ht="14.25" x14ac:dyDescent="0.2">
      <c r="A330" s="21">
        <f t="shared" si="573"/>
        <v>40901</v>
      </c>
      <c r="B330" s="3">
        <f>1+150+0+130</f>
        <v>281</v>
      </c>
      <c r="C330" s="3">
        <f>15+0+1+6</f>
        <v>22</v>
      </c>
      <c r="D330" s="3">
        <f>4+101+0+55</f>
        <v>160</v>
      </c>
      <c r="E330" s="11">
        <f t="shared" si="846"/>
        <v>463</v>
      </c>
      <c r="F330" s="12">
        <v>690</v>
      </c>
      <c r="G330" s="15">
        <f t="shared" ref="G330" si="871">F330-E330</f>
        <v>227</v>
      </c>
      <c r="H330" s="49">
        <f t="shared" ref="H330" si="872">(F330-F329)/F329</f>
        <v>5.0228310502283102E-2</v>
      </c>
      <c r="I330" s="57">
        <f t="shared" ref="I330" si="873">(E330-E329)/E329</f>
        <v>-0.17321428571428571</v>
      </c>
      <c r="J330" s="30">
        <f t="shared" ref="J330" si="874">E330-E329</f>
        <v>-97</v>
      </c>
      <c r="K330" s="13">
        <f t="shared" ref="K330" si="875">(F330-F278)/F278</f>
        <v>0.22340425531914893</v>
      </c>
      <c r="L330" s="3">
        <f t="shared" ref="L330" si="876">AVERAGE(F174,F226,F278)</f>
        <v>607</v>
      </c>
    </row>
    <row r="331" spans="1:12" ht="14.25" x14ac:dyDescent="0.2">
      <c r="A331" s="21">
        <f t="shared" si="573"/>
        <v>40908</v>
      </c>
      <c r="B331" s="3">
        <f>0+108+0+65</f>
        <v>173</v>
      </c>
      <c r="C331" s="3">
        <f>6+0+0+14</f>
        <v>20</v>
      </c>
      <c r="D331" s="3">
        <f>9+48+0+46</f>
        <v>103</v>
      </c>
      <c r="E331" s="11">
        <f t="shared" si="846"/>
        <v>296</v>
      </c>
      <c r="F331" s="12">
        <v>552</v>
      </c>
      <c r="G331" s="15">
        <f t="shared" ref="G331" si="877">F331-E331</f>
        <v>256</v>
      </c>
      <c r="H331" s="49">
        <f t="shared" ref="H331" si="878">(F331-F330)/F330</f>
        <v>-0.2</v>
      </c>
      <c r="I331" s="57">
        <f t="shared" ref="I331" si="879">(E331-E330)/E330</f>
        <v>-0.36069114470842334</v>
      </c>
      <c r="J331" s="30">
        <f t="shared" ref="J331" si="880">E331-E330</f>
        <v>-167</v>
      </c>
      <c r="K331" s="13">
        <f t="shared" ref="K331" si="881">(F331-F279)/F279</f>
        <v>0.28372093023255812</v>
      </c>
      <c r="L331" s="3">
        <f t="shared" ref="L331" si="882">AVERAGE(F175,F227,F279)</f>
        <v>588</v>
      </c>
    </row>
    <row r="332" spans="1:12" ht="14.25" x14ac:dyDescent="0.2">
      <c r="A332" s="21">
        <f t="shared" si="573"/>
        <v>40915</v>
      </c>
      <c r="B332" s="3">
        <f>1+102+0+66</f>
        <v>169</v>
      </c>
      <c r="C332" s="3">
        <f>10+0+0+7</f>
        <v>17</v>
      </c>
      <c r="D332" s="3">
        <f>3+57+0+68</f>
        <v>128</v>
      </c>
      <c r="E332" s="11">
        <f t="shared" si="846"/>
        <v>314</v>
      </c>
      <c r="F332" s="12">
        <v>681</v>
      </c>
      <c r="G332" s="15">
        <f t="shared" ref="G332" si="883">F332-E332</f>
        <v>367</v>
      </c>
      <c r="H332" s="49">
        <f t="shared" ref="H332" si="884">(F332-F331)/F331</f>
        <v>0.23369565217391305</v>
      </c>
      <c r="I332" s="57">
        <f t="shared" ref="I332" si="885">(E332-E331)/E331</f>
        <v>6.0810810810810814E-2</v>
      </c>
      <c r="J332" s="30">
        <f t="shared" ref="J332" si="886">E332-E331</f>
        <v>18</v>
      </c>
      <c r="K332" s="13">
        <f t="shared" ref="K332" si="887">(F332-F280)/F280</f>
        <v>4.1284403669724773E-2</v>
      </c>
      <c r="L332" s="3">
        <f t="shared" ref="L332" si="888">AVERAGE(F176,F228,F280)</f>
        <v>674</v>
      </c>
    </row>
    <row r="333" spans="1:12" ht="14.25" x14ac:dyDescent="0.2">
      <c r="A333" s="21">
        <f t="shared" si="573"/>
        <v>40922</v>
      </c>
      <c r="B333" s="3">
        <f>0+132+0+52</f>
        <v>184</v>
      </c>
      <c r="C333" s="3">
        <f>14+0+0+12</f>
        <v>26</v>
      </c>
      <c r="D333" s="3">
        <f>3+80+0+79</f>
        <v>162</v>
      </c>
      <c r="E333" s="11">
        <f t="shared" si="846"/>
        <v>372</v>
      </c>
      <c r="F333" s="12">
        <v>840</v>
      </c>
      <c r="G333" s="15">
        <f t="shared" ref="G333" si="889">F333-E333</f>
        <v>468</v>
      </c>
      <c r="H333" s="49">
        <f t="shared" ref="H333" si="890">(F333-F332)/F332</f>
        <v>0.23348017621145375</v>
      </c>
      <c r="I333" s="57">
        <f t="shared" ref="I333" si="891">(E333-E332)/E332</f>
        <v>0.18471337579617833</v>
      </c>
      <c r="J333" s="30">
        <f t="shared" ref="J333" si="892">E333-E332</f>
        <v>58</v>
      </c>
      <c r="K333" s="13">
        <f t="shared" ref="K333" si="893">(F333-F281)/F281</f>
        <v>0.47110332749562173</v>
      </c>
      <c r="L333" s="3">
        <f t="shared" ref="L333" si="894">AVERAGE(F177,F229,F281)</f>
        <v>673</v>
      </c>
    </row>
    <row r="334" spans="1:12" ht="14.25" x14ac:dyDescent="0.2">
      <c r="A334" s="21">
        <f t="shared" si="573"/>
        <v>40929</v>
      </c>
      <c r="B334" s="3">
        <f>10+155+0+105</f>
        <v>270</v>
      </c>
      <c r="C334" s="3">
        <f>9+0+1+13</f>
        <v>23</v>
      </c>
      <c r="D334" s="3">
        <f>6+69+0+63</f>
        <v>138</v>
      </c>
      <c r="E334" s="11">
        <f t="shared" si="846"/>
        <v>431</v>
      </c>
      <c r="F334" s="12">
        <v>772</v>
      </c>
      <c r="G334" s="15">
        <f t="shared" ref="G334" si="895">F334-E334</f>
        <v>341</v>
      </c>
      <c r="H334" s="49">
        <f t="shared" ref="H334" si="896">(F334-F333)/F333</f>
        <v>-8.0952380952380956E-2</v>
      </c>
      <c r="I334" s="57">
        <f t="shared" ref="I334" si="897">(E334-E333)/E333</f>
        <v>0.15860215053763441</v>
      </c>
      <c r="J334" s="30">
        <f t="shared" ref="J334" si="898">E334-E333</f>
        <v>59</v>
      </c>
      <c r="K334" s="13">
        <f t="shared" ref="K334" si="899">(F334-F282)/F282</f>
        <v>0.26557377049180325</v>
      </c>
      <c r="L334" s="3">
        <f t="shared" ref="L334" si="900">AVERAGE(F178,F230,F282)</f>
        <v>658.33333333333337</v>
      </c>
    </row>
    <row r="335" spans="1:12" ht="14.25" x14ac:dyDescent="0.2">
      <c r="A335" s="21">
        <f t="shared" si="573"/>
        <v>40936</v>
      </c>
      <c r="B335" s="3">
        <f>0+147+0+71</f>
        <v>218</v>
      </c>
      <c r="C335" s="3">
        <f>9+0+0+20</f>
        <v>29</v>
      </c>
      <c r="D335" s="3">
        <f>2+69+3+70</f>
        <v>144</v>
      </c>
      <c r="E335" s="11">
        <f t="shared" si="846"/>
        <v>391</v>
      </c>
      <c r="F335" s="12">
        <v>793</v>
      </c>
      <c r="G335" s="15">
        <f t="shared" ref="G335" si="901">F335-E335</f>
        <v>402</v>
      </c>
      <c r="H335" s="49">
        <f t="shared" ref="H335" si="902">(F335-F334)/F334</f>
        <v>2.7202072538860103E-2</v>
      </c>
      <c r="I335" s="57">
        <f t="shared" ref="I335" si="903">(E335-E334)/E334</f>
        <v>-9.2807424593967514E-2</v>
      </c>
      <c r="J335" s="30">
        <f t="shared" ref="J335" si="904">E335-E334</f>
        <v>-40</v>
      </c>
      <c r="K335" s="13">
        <f t="shared" ref="K335" si="905">(F335-F283)/F283</f>
        <v>0.13124108416547789</v>
      </c>
      <c r="L335" s="3">
        <f t="shared" ref="L335" si="906">AVERAGE(F179,F231,F283)</f>
        <v>694.66666666666663</v>
      </c>
    </row>
    <row r="336" spans="1:12" ht="14.25" x14ac:dyDescent="0.2">
      <c r="A336" s="21">
        <f t="shared" si="573"/>
        <v>40943</v>
      </c>
      <c r="B336" s="3">
        <f>11+166+2+104</f>
        <v>283</v>
      </c>
      <c r="C336" s="3">
        <f>5+0+3+21</f>
        <v>29</v>
      </c>
      <c r="D336" s="3">
        <f>2+68+0+71</f>
        <v>141</v>
      </c>
      <c r="E336" s="11">
        <f t="shared" si="846"/>
        <v>453</v>
      </c>
      <c r="F336" s="12">
        <v>657</v>
      </c>
      <c r="G336" s="15">
        <f t="shared" ref="G336" si="907">F336-E336</f>
        <v>204</v>
      </c>
      <c r="H336" s="49">
        <f t="shared" ref="H336" si="908">(F336-F335)/F335</f>
        <v>-0.17150063051702397</v>
      </c>
      <c r="I336" s="57">
        <f t="shared" ref="I336" si="909">(E336-E335)/E335</f>
        <v>0.15856777493606139</v>
      </c>
      <c r="J336" s="30">
        <f t="shared" ref="J336" si="910">E336-E335</f>
        <v>62</v>
      </c>
      <c r="K336" s="13">
        <f t="shared" ref="K336" si="911">(F336-F284)/F284</f>
        <v>3.1397174254317109E-2</v>
      </c>
      <c r="L336" s="3">
        <f t="shared" ref="L336" si="912">AVERAGE(F180,F232,F284)</f>
        <v>660.66666666666663</v>
      </c>
    </row>
    <row r="337" spans="1:13" ht="14.25" x14ac:dyDescent="0.2">
      <c r="A337" s="21">
        <f t="shared" si="573"/>
        <v>40950</v>
      </c>
      <c r="B337" s="3">
        <f>1+165+5+109</f>
        <v>280</v>
      </c>
      <c r="C337" s="3">
        <f>11+0+2+17</f>
        <v>30</v>
      </c>
      <c r="D337" s="3">
        <f>4+104+0+91</f>
        <v>199</v>
      </c>
      <c r="E337" s="11">
        <f t="shared" si="846"/>
        <v>509</v>
      </c>
      <c r="F337" s="12">
        <v>713</v>
      </c>
      <c r="G337" s="15">
        <f t="shared" ref="G337" si="913">F337-E337</f>
        <v>204</v>
      </c>
      <c r="H337" s="49">
        <f t="shared" ref="H337" si="914">(F337-F336)/F336</f>
        <v>8.5235920852359204E-2</v>
      </c>
      <c r="I337" s="57">
        <f t="shared" ref="I337" si="915">(E337-E336)/E336</f>
        <v>0.12362030905077263</v>
      </c>
      <c r="J337" s="30">
        <f t="shared" ref="J337" si="916">E337-E336</f>
        <v>56</v>
      </c>
      <c r="K337" s="13">
        <f t="shared" ref="K337" si="917">(F337-F285)/F285</f>
        <v>2.7377521613832854E-2</v>
      </c>
      <c r="L337" s="3">
        <f t="shared" ref="L337" si="918">AVERAGE(F181,F233,F285)</f>
        <v>646</v>
      </c>
    </row>
    <row r="338" spans="1:13" ht="14.25" x14ac:dyDescent="0.2">
      <c r="A338" s="21">
        <f t="shared" si="573"/>
        <v>40957</v>
      </c>
      <c r="B338" s="3">
        <f>12+172+6+71</f>
        <v>261</v>
      </c>
      <c r="C338" s="3">
        <f>6+1+0+14</f>
        <v>21</v>
      </c>
      <c r="D338" s="3">
        <f>4+78+0+62</f>
        <v>144</v>
      </c>
      <c r="E338" s="11">
        <f t="shared" si="846"/>
        <v>426</v>
      </c>
      <c r="F338" s="12">
        <v>601</v>
      </c>
      <c r="G338" s="15">
        <f t="shared" ref="G338" si="919">F338-E338</f>
        <v>175</v>
      </c>
      <c r="H338" s="49">
        <f t="shared" ref="H338" si="920">(F338-F337)/F337</f>
        <v>-0.15708274894810659</v>
      </c>
      <c r="I338" s="57">
        <f t="shared" ref="I338" si="921">(E338-E337)/E337</f>
        <v>-0.16306483300589392</v>
      </c>
      <c r="J338" s="30">
        <f t="shared" ref="J338" si="922">E338-E337</f>
        <v>-83</v>
      </c>
      <c r="K338" s="13">
        <f t="shared" ref="K338" si="923">(F338-F286)/F286</f>
        <v>-0.17103448275862068</v>
      </c>
      <c r="L338" s="3">
        <f t="shared" ref="L338" si="924">AVERAGE(F182,F234,F286)</f>
        <v>664.66666666666663</v>
      </c>
    </row>
    <row r="339" spans="1:13" ht="14.25" x14ac:dyDescent="0.2">
      <c r="A339" s="21">
        <f t="shared" si="573"/>
        <v>40964</v>
      </c>
      <c r="B339" s="3">
        <f>2+128+3+44</f>
        <v>177</v>
      </c>
      <c r="C339" s="3">
        <f>13+0+0+12</f>
        <v>25</v>
      </c>
      <c r="D339" s="3">
        <f>4+55+0+60</f>
        <v>119</v>
      </c>
      <c r="E339" s="11">
        <f t="shared" si="846"/>
        <v>321</v>
      </c>
      <c r="F339" s="12">
        <v>563</v>
      </c>
      <c r="G339" s="15">
        <f t="shared" ref="G339" si="925">F339-E339</f>
        <v>242</v>
      </c>
      <c r="H339" s="49">
        <f t="shared" ref="H339" si="926">(F339-F338)/F338</f>
        <v>-6.3227953410981697E-2</v>
      </c>
      <c r="I339" s="57">
        <f t="shared" ref="I339" si="927">(E339-E338)/E338</f>
        <v>-0.24647887323943662</v>
      </c>
      <c r="J339" s="30">
        <f t="shared" ref="J339" si="928">E339-E338</f>
        <v>-105</v>
      </c>
      <c r="K339" s="13">
        <f t="shared" ref="K339" si="929">(F339-F287)/F287</f>
        <v>-0.13914373088685014</v>
      </c>
      <c r="L339" s="3">
        <f t="shared" ref="L339" si="930">AVERAGE(F183,F235,F287)</f>
        <v>640</v>
      </c>
    </row>
    <row r="340" spans="1:13" ht="14.25" x14ac:dyDescent="0.2">
      <c r="A340" s="21">
        <f t="shared" si="573"/>
        <v>40971</v>
      </c>
      <c r="B340" s="3">
        <f>4+115+0+50</f>
        <v>169</v>
      </c>
      <c r="C340" s="3">
        <f>14+0+5+22</f>
        <v>41</v>
      </c>
      <c r="D340" s="3">
        <f>10+59+0+50</f>
        <v>119</v>
      </c>
      <c r="E340" s="11">
        <f t="shared" si="846"/>
        <v>329</v>
      </c>
      <c r="F340" s="12">
        <v>593</v>
      </c>
      <c r="G340" s="15">
        <f t="shared" ref="G340" si="931">F340-E340</f>
        <v>264</v>
      </c>
      <c r="H340" s="49">
        <f t="shared" ref="H340" si="932">(F340-F339)/F339</f>
        <v>5.328596802841918E-2</v>
      </c>
      <c r="I340" s="57">
        <f t="shared" ref="I340" si="933">(E340-E339)/E339</f>
        <v>2.4922118380062305E-2</v>
      </c>
      <c r="J340" s="30">
        <f t="shared" ref="J340" si="934">E340-E339</f>
        <v>8</v>
      </c>
      <c r="K340" s="13">
        <f t="shared" ref="K340" si="935">(F340-F288)/F288</f>
        <v>-0.16946778711484595</v>
      </c>
      <c r="L340" s="3">
        <f t="shared" ref="L340" si="936">AVERAGE(F184,F236,F288)</f>
        <v>625.33333333333337</v>
      </c>
    </row>
    <row r="341" spans="1:13" ht="14.25" x14ac:dyDescent="0.2">
      <c r="A341" s="21">
        <f t="shared" si="573"/>
        <v>40978</v>
      </c>
      <c r="B341" s="3">
        <f>0+75+0+83</f>
        <v>158</v>
      </c>
      <c r="C341" s="3">
        <f>13+0+4+16</f>
        <v>33</v>
      </c>
      <c r="D341" s="3">
        <f>12+84+0+77</f>
        <v>173</v>
      </c>
      <c r="E341" s="11">
        <f t="shared" si="846"/>
        <v>364</v>
      </c>
      <c r="F341" s="12">
        <v>493</v>
      </c>
      <c r="G341" s="15">
        <f t="shared" ref="G341" si="937">F341-E341</f>
        <v>129</v>
      </c>
      <c r="H341" s="49">
        <f t="shared" ref="H341" si="938">(F341-F340)/F340</f>
        <v>-0.16863406408094436</v>
      </c>
      <c r="I341" s="57">
        <f t="shared" ref="I341" si="939">(E341-E340)/E340</f>
        <v>0.10638297872340426</v>
      </c>
      <c r="J341" s="30">
        <f t="shared" ref="J341" si="940">E341-E340</f>
        <v>35</v>
      </c>
      <c r="K341" s="13">
        <f t="shared" ref="K341" si="941">(F341-F289)/F289</f>
        <v>-0.12433392539964476</v>
      </c>
      <c r="L341" s="3">
        <f t="shared" ref="L341" si="942">AVERAGE(F185,F237,F289)</f>
        <v>569.66666666666663</v>
      </c>
    </row>
    <row r="342" spans="1:13" ht="14.25" x14ac:dyDescent="0.2">
      <c r="A342" s="21">
        <f t="shared" si="573"/>
        <v>40985</v>
      </c>
      <c r="B342" s="3">
        <v>131</v>
      </c>
      <c r="C342" s="3">
        <v>32</v>
      </c>
      <c r="D342" s="3">
        <v>69</v>
      </c>
      <c r="E342" s="11">
        <f t="shared" si="846"/>
        <v>232</v>
      </c>
      <c r="F342" s="12">
        <v>457</v>
      </c>
      <c r="G342" s="15">
        <f t="shared" ref="G342:G343" si="943">F342-E342</f>
        <v>225</v>
      </c>
      <c r="H342" s="49">
        <f t="shared" ref="H342" si="944">(F342-F341)/F341</f>
        <v>-7.3022312373225151E-2</v>
      </c>
      <c r="I342" s="57">
        <f t="shared" ref="I342" si="945">(E342-E341)/E341</f>
        <v>-0.36263736263736263</v>
      </c>
      <c r="J342" s="30">
        <f t="shared" ref="J342" si="946">E342-E341</f>
        <v>-132</v>
      </c>
      <c r="K342" s="13">
        <f t="shared" ref="K342" si="947">(F342-F290)/F290</f>
        <v>-0.24711696869851729</v>
      </c>
      <c r="L342" s="3">
        <f t="shared" ref="L342" si="948">AVERAGE(F186,F238,F290)</f>
        <v>636.33333333333337</v>
      </c>
    </row>
    <row r="343" spans="1:13" ht="14.25" x14ac:dyDescent="0.2">
      <c r="A343" s="21">
        <f t="shared" si="573"/>
        <v>40992</v>
      </c>
      <c r="B343" s="3">
        <v>375</v>
      </c>
      <c r="C343" s="3">
        <v>23</v>
      </c>
      <c r="D343" s="3">
        <v>97</v>
      </c>
      <c r="E343" s="30">
        <f t="shared" si="846"/>
        <v>495</v>
      </c>
      <c r="F343" s="30">
        <v>496</v>
      </c>
      <c r="G343" s="3">
        <f t="shared" si="943"/>
        <v>1</v>
      </c>
      <c r="H343" s="49">
        <f t="shared" ref="H343" si="949">(F343-F342)/F342</f>
        <v>8.5339168490153175E-2</v>
      </c>
      <c r="I343" s="57">
        <f t="shared" ref="I343" si="950">(E343-E342)/E342</f>
        <v>1.1336206896551724</v>
      </c>
      <c r="J343" s="30">
        <f t="shared" ref="J343" si="951">E343-E342</f>
        <v>263</v>
      </c>
      <c r="K343" s="13">
        <f t="shared" ref="K343" si="952">(F343-F291)/F291</f>
        <v>-0.24505327245053271</v>
      </c>
      <c r="L343" s="3">
        <f t="shared" ref="L343" si="953">AVERAGE(F187,F239,F291)</f>
        <v>639.66666666666663</v>
      </c>
    </row>
    <row r="344" spans="1:13" ht="14.25" x14ac:dyDescent="0.2">
      <c r="A344" s="21">
        <f t="shared" si="573"/>
        <v>40999</v>
      </c>
      <c r="B344" s="3">
        <v>373</v>
      </c>
      <c r="C344" s="3">
        <v>23</v>
      </c>
      <c r="D344" s="3">
        <v>97</v>
      </c>
      <c r="E344" s="30">
        <f t="shared" ref="E344:E368" si="954">SUM(B344:D344)</f>
        <v>493</v>
      </c>
      <c r="F344" s="30">
        <v>482</v>
      </c>
      <c r="G344" s="3">
        <f t="shared" ref="G344:G345" si="955">F344-E344</f>
        <v>-11</v>
      </c>
      <c r="H344" s="49">
        <f t="shared" ref="H344" si="956">(F344-F343)/F343</f>
        <v>-2.8225806451612902E-2</v>
      </c>
      <c r="I344" s="57">
        <f t="shared" ref="I344" si="957">(E344-E343)/E343</f>
        <v>-4.0404040404040404E-3</v>
      </c>
      <c r="J344" s="30">
        <f t="shared" ref="J344" si="958">E344-E343</f>
        <v>-2</v>
      </c>
      <c r="K344" s="13">
        <f t="shared" ref="K344" si="959">(F344-F292)/F292</f>
        <v>-3.0181086519114688E-2</v>
      </c>
      <c r="L344" s="3">
        <f t="shared" ref="L344" si="960">AVERAGE(F188,F240,F292)</f>
        <v>528.33333333333337</v>
      </c>
    </row>
    <row r="345" spans="1:13" ht="14.25" x14ac:dyDescent="0.2">
      <c r="A345" s="21">
        <f t="shared" si="573"/>
        <v>41006</v>
      </c>
      <c r="B345" s="3">
        <v>328</v>
      </c>
      <c r="C345" s="3">
        <v>9</v>
      </c>
      <c r="D345" s="3">
        <v>71</v>
      </c>
      <c r="E345" s="30">
        <f t="shared" si="954"/>
        <v>408</v>
      </c>
      <c r="F345" s="30">
        <v>495</v>
      </c>
      <c r="G345" s="3">
        <f t="shared" si="955"/>
        <v>87</v>
      </c>
      <c r="H345" s="49">
        <f t="shared" ref="H345" si="961">(F345-F344)/F344</f>
        <v>2.6970954356846474E-2</v>
      </c>
      <c r="I345" s="57">
        <f t="shared" ref="I345" si="962">(E345-E344)/E344</f>
        <v>-0.17241379310344829</v>
      </c>
      <c r="J345" s="30">
        <f t="shared" ref="J345" si="963">E345-E344</f>
        <v>-85</v>
      </c>
      <c r="K345" s="13">
        <f t="shared" ref="K345" si="964">(F345-F293)/F293</f>
        <v>-8.6715867158671592E-2</v>
      </c>
      <c r="L345" s="3">
        <f t="shared" ref="L345" si="965">AVERAGE(F189,F241,F293)</f>
        <v>532.66666666666663</v>
      </c>
    </row>
    <row r="346" spans="1:13" ht="14.25" x14ac:dyDescent="0.2">
      <c r="A346" s="21">
        <f t="shared" si="573"/>
        <v>41013</v>
      </c>
      <c r="B346" s="3">
        <f>12+149+1+73</f>
        <v>235</v>
      </c>
      <c r="C346" s="3">
        <f>21+0+2+8</f>
        <v>31</v>
      </c>
      <c r="D346" s="3">
        <f>2+11+1+17</f>
        <v>31</v>
      </c>
      <c r="E346" s="30">
        <f t="shared" si="954"/>
        <v>297</v>
      </c>
      <c r="F346" s="30">
        <v>649</v>
      </c>
      <c r="G346" s="3">
        <f t="shared" ref="G346" si="966">F346-E346</f>
        <v>352</v>
      </c>
      <c r="H346" s="49">
        <f t="shared" ref="H346" si="967">(F346-F345)/F345</f>
        <v>0.31111111111111112</v>
      </c>
      <c r="I346" s="57">
        <f t="shared" ref="I346" si="968">(E346-E345)/E345</f>
        <v>-0.27205882352941174</v>
      </c>
      <c r="J346" s="30">
        <f t="shared" ref="J346" si="969">E346-E345</f>
        <v>-111</v>
      </c>
      <c r="K346" s="13">
        <f t="shared" ref="K346" si="970">(F346-F294)/F294</f>
        <v>0.45190156599552572</v>
      </c>
      <c r="L346" s="3">
        <f t="shared" ref="L346" si="971">AVERAGE(F190,F242,F294)</f>
        <v>510.33333333333331</v>
      </c>
    </row>
    <row r="347" spans="1:13" ht="15" thickBot="1" x14ac:dyDescent="0.25">
      <c r="A347" s="21">
        <f t="shared" si="573"/>
        <v>41020</v>
      </c>
      <c r="B347" s="3">
        <f>8+262+0+115</f>
        <v>385</v>
      </c>
      <c r="C347" s="3">
        <f>10+0+1+1</f>
        <v>12</v>
      </c>
      <c r="D347" s="3">
        <f>7+18+2+12</f>
        <v>39</v>
      </c>
      <c r="E347" s="30">
        <f t="shared" si="954"/>
        <v>436</v>
      </c>
      <c r="F347" s="30">
        <v>476</v>
      </c>
      <c r="G347" s="3">
        <f t="shared" ref="G347" si="972">F347-E347</f>
        <v>40</v>
      </c>
      <c r="H347" s="49">
        <f t="shared" ref="H347" si="973">(F347-F346)/F346</f>
        <v>-0.26656394453004623</v>
      </c>
      <c r="I347" s="57">
        <f t="shared" ref="I347" si="974">(E347-E346)/E346</f>
        <v>0.46801346801346799</v>
      </c>
      <c r="J347" s="30">
        <f t="shared" ref="J347" si="975">E347-E346</f>
        <v>139</v>
      </c>
      <c r="K347" s="13">
        <f t="shared" ref="K347" si="976">(F347-F295)/F295</f>
        <v>0.57615894039735094</v>
      </c>
      <c r="L347" s="3">
        <f t="shared" ref="L347" si="977">AVERAGE(F191,F243,F295)</f>
        <v>336.33333333333331</v>
      </c>
    </row>
    <row r="348" spans="1:13" ht="14.25" x14ac:dyDescent="0.2">
      <c r="A348" s="21">
        <f t="shared" si="573"/>
        <v>41027</v>
      </c>
      <c r="B348" s="3">
        <f>6+215+0+100</f>
        <v>321</v>
      </c>
      <c r="C348" s="3">
        <f>20+0+6+7</f>
        <v>33</v>
      </c>
      <c r="D348" s="36">
        <v>45</v>
      </c>
      <c r="E348" s="30">
        <f t="shared" si="954"/>
        <v>399</v>
      </c>
      <c r="F348" s="30">
        <v>312</v>
      </c>
      <c r="G348" s="3">
        <f t="shared" ref="G348" si="978">F348-E348</f>
        <v>-87</v>
      </c>
      <c r="H348" s="49">
        <f t="shared" ref="H348" si="979">(F348-F347)/F347</f>
        <v>-0.34453781512605042</v>
      </c>
      <c r="I348" s="57">
        <f t="shared" ref="I348" si="980">(E348-E347)/E347</f>
        <v>-8.4862385321100922E-2</v>
      </c>
      <c r="J348" s="30">
        <f t="shared" ref="J348" si="981">E348-E347</f>
        <v>-37</v>
      </c>
      <c r="K348" s="13">
        <f t="shared" ref="K348" si="982">(F348-F296)/F296</f>
        <v>-0.2</v>
      </c>
      <c r="L348" s="3">
        <f t="shared" ref="L348" si="983">AVERAGE(F192,F244,F296)</f>
        <v>424.66666666666669</v>
      </c>
      <c r="M348" s="29" t="s">
        <v>39</v>
      </c>
    </row>
    <row r="349" spans="1:13" ht="15" thickBot="1" x14ac:dyDescent="0.25">
      <c r="A349" s="21">
        <f t="shared" si="573"/>
        <v>41034</v>
      </c>
      <c r="B349" s="3">
        <f>7+124+0+56</f>
        <v>187</v>
      </c>
      <c r="C349" s="3">
        <f>5+0+0+3</f>
        <v>8</v>
      </c>
      <c r="D349" s="37">
        <v>49</v>
      </c>
      <c r="E349" s="30">
        <f t="shared" si="954"/>
        <v>244</v>
      </c>
      <c r="F349" s="30">
        <v>416</v>
      </c>
      <c r="G349" s="3">
        <f t="shared" ref="G349:G354" si="984">F349-E349</f>
        <v>172</v>
      </c>
      <c r="H349" s="49">
        <f t="shared" ref="H349" si="985">(F349-F348)/F348</f>
        <v>0.33333333333333331</v>
      </c>
      <c r="I349" s="57">
        <f t="shared" ref="I349" si="986">(E349-E348)/E348</f>
        <v>-0.38847117794486213</v>
      </c>
      <c r="J349" s="30">
        <f t="shared" ref="J349:J354" si="987">E349-E348</f>
        <v>-155</v>
      </c>
      <c r="K349" s="13">
        <f t="shared" ref="K349" si="988">(F349-F297)/F297</f>
        <v>0.22352941176470589</v>
      </c>
      <c r="L349" s="3">
        <f t="shared" ref="L349" si="989">AVERAGE(F193,F245,F297)</f>
        <v>475.66666666666669</v>
      </c>
      <c r="M349" s="29" t="s">
        <v>40</v>
      </c>
    </row>
    <row r="350" spans="1:13" ht="14.25" x14ac:dyDescent="0.2">
      <c r="A350" s="21">
        <f t="shared" si="573"/>
        <v>41041</v>
      </c>
      <c r="B350" s="31">
        <v>350</v>
      </c>
      <c r="C350" s="32">
        <v>28</v>
      </c>
      <c r="D350" s="5">
        <v>60</v>
      </c>
      <c r="E350" s="30">
        <f t="shared" si="954"/>
        <v>438</v>
      </c>
      <c r="F350" s="30">
        <v>651</v>
      </c>
      <c r="G350" s="3">
        <f t="shared" si="984"/>
        <v>213</v>
      </c>
      <c r="H350" s="49">
        <f t="shared" ref="H350" si="990">(F350-F349)/F349</f>
        <v>0.56490384615384615</v>
      </c>
      <c r="I350" s="57">
        <f t="shared" ref="I350" si="991">(E350-E349)/E349</f>
        <v>0.79508196721311475</v>
      </c>
      <c r="J350" s="30">
        <f t="shared" si="987"/>
        <v>194</v>
      </c>
      <c r="K350" s="13">
        <f t="shared" ref="K350" si="992">(F350-F298)/F298</f>
        <v>1.4291044776119404</v>
      </c>
      <c r="L350" s="3">
        <f t="shared" ref="L350" si="993">AVERAGE(F194,F246,F298)</f>
        <v>459.33333333333331</v>
      </c>
      <c r="M350" s="29"/>
    </row>
    <row r="351" spans="1:13" ht="14.25" x14ac:dyDescent="0.2">
      <c r="A351" s="21">
        <f t="shared" si="573"/>
        <v>41048</v>
      </c>
      <c r="B351" s="33">
        <v>364</v>
      </c>
      <c r="C351" s="5">
        <v>10</v>
      </c>
      <c r="D351" s="5">
        <v>55</v>
      </c>
      <c r="E351" s="30">
        <f t="shared" si="954"/>
        <v>429</v>
      </c>
      <c r="F351" s="30">
        <v>417</v>
      </c>
      <c r="G351" s="3">
        <f t="shared" si="984"/>
        <v>-12</v>
      </c>
      <c r="H351" s="49">
        <f t="shared" ref="H351" si="994">(F351-F350)/F350</f>
        <v>-0.35944700460829493</v>
      </c>
      <c r="I351" s="57">
        <f t="shared" ref="I351" si="995">(E351-E350)/E350</f>
        <v>-2.0547945205479451E-2</v>
      </c>
      <c r="J351" s="30">
        <f t="shared" si="987"/>
        <v>-9</v>
      </c>
      <c r="K351" s="13">
        <f t="shared" ref="K351" si="996">(F351-F299)/F299</f>
        <v>0.13315217391304349</v>
      </c>
      <c r="L351" s="3">
        <f t="shared" ref="L351" si="997">AVERAGE(F195,F247,F299)</f>
        <v>453.66666666666669</v>
      </c>
      <c r="M351" s="29"/>
    </row>
    <row r="352" spans="1:13" ht="14.25" x14ac:dyDescent="0.2">
      <c r="A352" s="21">
        <f t="shared" si="573"/>
        <v>41055</v>
      </c>
      <c r="B352" s="33">
        <v>303</v>
      </c>
      <c r="C352" s="5">
        <v>29</v>
      </c>
      <c r="D352" s="5">
        <v>45</v>
      </c>
      <c r="E352" s="30">
        <f t="shared" si="954"/>
        <v>377</v>
      </c>
      <c r="F352" s="30">
        <v>430</v>
      </c>
      <c r="G352" s="3">
        <f t="shared" si="984"/>
        <v>53</v>
      </c>
      <c r="H352" s="49">
        <f t="shared" ref="H352" si="998">(F352-F351)/F351</f>
        <v>3.117505995203837E-2</v>
      </c>
      <c r="I352" s="57">
        <f t="shared" ref="I352" si="999">(E352-E351)/E351</f>
        <v>-0.12121212121212122</v>
      </c>
      <c r="J352" s="30">
        <f t="shared" si="987"/>
        <v>-52</v>
      </c>
      <c r="K352" s="13">
        <f t="shared" ref="K352" si="1000">(F352-F300)/F300</f>
        <v>0.17486338797814208</v>
      </c>
      <c r="L352" s="3">
        <f t="shared" ref="L352" si="1001">AVERAGE(F196,F248,F300)</f>
        <v>470.33333333333331</v>
      </c>
      <c r="M352" s="29"/>
    </row>
    <row r="353" spans="1:13" ht="14.25" x14ac:dyDescent="0.2">
      <c r="A353" s="21">
        <f t="shared" si="573"/>
        <v>41062</v>
      </c>
      <c r="B353" s="33">
        <v>344</v>
      </c>
      <c r="C353" s="5">
        <v>32</v>
      </c>
      <c r="D353" s="5">
        <v>27</v>
      </c>
      <c r="E353" s="30">
        <f t="shared" si="954"/>
        <v>403</v>
      </c>
      <c r="F353" s="30">
        <v>360</v>
      </c>
      <c r="G353" s="3">
        <f t="shared" si="984"/>
        <v>-43</v>
      </c>
      <c r="H353" s="49">
        <f t="shared" ref="H353" si="1002">(F353-F352)/F352</f>
        <v>-0.16279069767441862</v>
      </c>
      <c r="I353" s="57">
        <f t="shared" ref="I353" si="1003">(E353-E352)/E352</f>
        <v>6.8965517241379309E-2</v>
      </c>
      <c r="J353" s="30">
        <f t="shared" si="987"/>
        <v>26</v>
      </c>
      <c r="K353" s="13">
        <f t="shared" ref="K353" si="1004">(F353-F301)/F301</f>
        <v>0.12852664576802508</v>
      </c>
      <c r="L353" s="3">
        <f t="shared" ref="L353" si="1005">AVERAGE(F197,F249,F301)</f>
        <v>467.66666666666669</v>
      </c>
      <c r="M353" s="29"/>
    </row>
    <row r="354" spans="1:13" ht="15" thickBot="1" x14ac:dyDescent="0.25">
      <c r="A354" s="21">
        <f t="shared" si="573"/>
        <v>41069</v>
      </c>
      <c r="B354" s="34">
        <v>295</v>
      </c>
      <c r="C354" s="35">
        <v>30</v>
      </c>
      <c r="D354" s="35">
        <v>57</v>
      </c>
      <c r="E354" s="30">
        <f t="shared" si="954"/>
        <v>382</v>
      </c>
      <c r="F354" s="30">
        <v>243</v>
      </c>
      <c r="G354" s="3">
        <f t="shared" si="984"/>
        <v>-139</v>
      </c>
      <c r="H354" s="49">
        <f t="shared" ref="H354" si="1006">(F354-F353)/F353</f>
        <v>-0.32500000000000001</v>
      </c>
      <c r="I354" s="57">
        <f t="shared" ref="I354" si="1007">(E354-E353)/E353</f>
        <v>-5.2109181141439205E-2</v>
      </c>
      <c r="J354" s="30">
        <f t="shared" si="987"/>
        <v>-21</v>
      </c>
      <c r="K354" s="13">
        <f t="shared" ref="K354" si="1008">(F354-F302)/F302</f>
        <v>-0.18181818181818182</v>
      </c>
      <c r="L354" s="3">
        <f t="shared" ref="L354" si="1009">AVERAGE(F198,F250,F302)</f>
        <v>472.33333333333331</v>
      </c>
      <c r="M354" s="29"/>
    </row>
    <row r="355" spans="1:13" ht="14.25" x14ac:dyDescent="0.2">
      <c r="A355" s="21">
        <f t="shared" si="573"/>
        <v>41076</v>
      </c>
      <c r="B355" s="3">
        <f>186+98</f>
        <v>284</v>
      </c>
      <c r="C355" s="3">
        <f>28+1+2</f>
        <v>31</v>
      </c>
      <c r="D355" s="3">
        <f>18+9+1+16</f>
        <v>44</v>
      </c>
      <c r="E355" s="30">
        <f t="shared" si="954"/>
        <v>359</v>
      </c>
      <c r="F355" s="30">
        <v>425</v>
      </c>
      <c r="G355" s="3">
        <f t="shared" ref="G355" si="1010">F355-E355</f>
        <v>66</v>
      </c>
      <c r="H355" s="49">
        <f t="shared" ref="H355" si="1011">(F355-F354)/F354</f>
        <v>0.74897119341563789</v>
      </c>
      <c r="I355" s="57">
        <f t="shared" ref="I355" si="1012">(E355-E354)/E354</f>
        <v>-6.0209424083769635E-2</v>
      </c>
      <c r="J355" s="30">
        <f t="shared" ref="J355" si="1013">E355-E354</f>
        <v>-23</v>
      </c>
      <c r="K355" s="13">
        <f t="shared" ref="K355" si="1014">(F355-F303)/F303</f>
        <v>0.16438356164383561</v>
      </c>
      <c r="L355" s="3">
        <f t="shared" ref="L355" si="1015">AVERAGE(F199,F251,F303)</f>
        <v>483.33333333333331</v>
      </c>
    </row>
    <row r="356" spans="1:13" ht="14.25" x14ac:dyDescent="0.2">
      <c r="A356" s="21">
        <f t="shared" si="573"/>
        <v>41083</v>
      </c>
      <c r="B356" s="3">
        <f>5+206+8+130</f>
        <v>349</v>
      </c>
      <c r="C356" s="3">
        <f>12+1</f>
        <v>13</v>
      </c>
      <c r="D356" s="3">
        <f>10+4+4+8</f>
        <v>26</v>
      </c>
      <c r="E356" s="30">
        <f t="shared" si="954"/>
        <v>388</v>
      </c>
      <c r="F356" s="30">
        <v>366</v>
      </c>
      <c r="G356" s="3">
        <f t="shared" ref="G356" si="1016">F356-E356</f>
        <v>-22</v>
      </c>
      <c r="H356" s="49">
        <f t="shared" ref="H356" si="1017">(F356-F355)/F355</f>
        <v>-0.13882352941176471</v>
      </c>
      <c r="I356" s="57">
        <f t="shared" ref="I356" si="1018">(E356-E355)/E355</f>
        <v>8.0779944289693595E-2</v>
      </c>
      <c r="J356" s="30">
        <f t="shared" ref="J356" si="1019">E356-E355</f>
        <v>29</v>
      </c>
      <c r="K356" s="13">
        <f t="shared" ref="K356" si="1020">(F356-F304)/F304</f>
        <v>-0.1201923076923077</v>
      </c>
      <c r="L356" s="3">
        <f t="shared" ref="L356" si="1021">AVERAGE(F200,F252,F304)</f>
        <v>489.33333333333331</v>
      </c>
    </row>
    <row r="357" spans="1:13" ht="14.25" x14ac:dyDescent="0.2">
      <c r="A357" s="21">
        <f t="shared" si="573"/>
        <v>41090</v>
      </c>
      <c r="B357" s="3">
        <f>7+186+0+92</f>
        <v>285</v>
      </c>
      <c r="C357" s="3">
        <f>24+0+0+0</f>
        <v>24</v>
      </c>
      <c r="D357" s="3">
        <f>5+19+6+0</f>
        <v>30</v>
      </c>
      <c r="E357" s="30">
        <f t="shared" si="954"/>
        <v>339</v>
      </c>
      <c r="F357" s="30">
        <v>498</v>
      </c>
      <c r="G357" s="3">
        <f t="shared" ref="G357" si="1022">F357-E357</f>
        <v>159</v>
      </c>
      <c r="H357" s="49">
        <f t="shared" ref="H357" si="1023">(F357-F356)/F356</f>
        <v>0.36065573770491804</v>
      </c>
      <c r="I357" s="57">
        <f t="shared" ref="I357" si="1024">(E357-E356)/E356</f>
        <v>-0.12628865979381443</v>
      </c>
      <c r="J357" s="30">
        <f t="shared" ref="J357" si="1025">E357-E356</f>
        <v>-49</v>
      </c>
      <c r="K357" s="13">
        <f t="shared" ref="K357" si="1026">(F357-F305)/F305</f>
        <v>0.2</v>
      </c>
      <c r="L357" s="3">
        <f t="shared" ref="L357" si="1027">AVERAGE(F201,F253,F305)</f>
        <v>492</v>
      </c>
    </row>
    <row r="358" spans="1:13" ht="14.25" x14ac:dyDescent="0.2">
      <c r="A358" s="21">
        <f t="shared" si="573"/>
        <v>41097</v>
      </c>
      <c r="B358" s="3">
        <f>149+3+142</f>
        <v>294</v>
      </c>
      <c r="C358" s="3">
        <f>25+1</f>
        <v>26</v>
      </c>
      <c r="D358" s="3">
        <f>16+15+17</f>
        <v>48</v>
      </c>
      <c r="E358" s="30">
        <f t="shared" si="954"/>
        <v>368</v>
      </c>
      <c r="F358" s="30">
        <v>449</v>
      </c>
      <c r="G358" s="3">
        <f t="shared" ref="G358" si="1028">F358-E358</f>
        <v>81</v>
      </c>
      <c r="H358" s="49">
        <f t="shared" ref="H358" si="1029">(F358-F357)/F357</f>
        <v>-9.8393574297188757E-2</v>
      </c>
      <c r="I358" s="57">
        <f t="shared" ref="I358" si="1030">(E358-E357)/E357</f>
        <v>8.5545722713864306E-2</v>
      </c>
      <c r="J358" s="30">
        <f t="shared" ref="J358" si="1031">E358-E357</f>
        <v>29</v>
      </c>
      <c r="K358" s="13">
        <f t="shared" ref="K358" si="1032">(F358-F306)/F306</f>
        <v>3.2183908045977011E-2</v>
      </c>
      <c r="L358" s="3">
        <f t="shared" ref="L358" si="1033">AVERAGE(F202,F254,F306)</f>
        <v>508.33333333333331</v>
      </c>
    </row>
    <row r="359" spans="1:13" ht="14.25" x14ac:dyDescent="0.2">
      <c r="A359" s="21">
        <f t="shared" si="573"/>
        <v>41104</v>
      </c>
      <c r="B359" s="3">
        <f>1+155+109</f>
        <v>265</v>
      </c>
      <c r="C359" s="3">
        <f>15+3</f>
        <v>18</v>
      </c>
      <c r="D359" s="3">
        <f>6+20+20</f>
        <v>46</v>
      </c>
      <c r="E359" s="30">
        <f t="shared" si="954"/>
        <v>329</v>
      </c>
      <c r="F359" s="30">
        <v>391</v>
      </c>
      <c r="G359" s="3">
        <f t="shared" ref="G359:G360" si="1034">F359-E359</f>
        <v>62</v>
      </c>
      <c r="H359" s="49">
        <f t="shared" ref="H359" si="1035">(F359-F358)/F358</f>
        <v>-0.1291759465478842</v>
      </c>
      <c r="I359" s="57">
        <f t="shared" ref="I359" si="1036">(E359-E358)/E358</f>
        <v>-0.10597826086956522</v>
      </c>
      <c r="J359" s="30">
        <f t="shared" ref="J359" si="1037">E359-E358</f>
        <v>-39</v>
      </c>
      <c r="K359" s="13">
        <f t="shared" ref="K359" si="1038">(F359-F307)/F307</f>
        <v>-0.21010101010101009</v>
      </c>
      <c r="L359" s="3">
        <f t="shared" ref="L359" si="1039">AVERAGE(F203,F255,F307)</f>
        <v>539.66666666666663</v>
      </c>
    </row>
    <row r="360" spans="1:13" ht="14.25" x14ac:dyDescent="0.2">
      <c r="A360" s="21">
        <f t="shared" si="573"/>
        <v>41111</v>
      </c>
      <c r="B360" s="3">
        <v>300</v>
      </c>
      <c r="C360" s="3">
        <v>15</v>
      </c>
      <c r="D360" s="3">
        <v>35</v>
      </c>
      <c r="E360" s="30">
        <f t="shared" si="954"/>
        <v>350</v>
      </c>
      <c r="F360" s="30">
        <v>506</v>
      </c>
      <c r="G360" s="3">
        <f t="shared" si="1034"/>
        <v>156</v>
      </c>
      <c r="H360" s="49">
        <f t="shared" ref="H360" si="1040">(F360-F359)/F359</f>
        <v>0.29411764705882354</v>
      </c>
      <c r="I360" s="57">
        <f t="shared" ref="I360" si="1041">(E360-E359)/E359</f>
        <v>6.3829787234042548E-2</v>
      </c>
      <c r="J360" s="30">
        <f t="shared" ref="J360" si="1042">E360-E359</f>
        <v>21</v>
      </c>
      <c r="K360" s="13">
        <f t="shared" ref="K360" si="1043">(F360-F308)/F308</f>
        <v>0.12694877505567928</v>
      </c>
      <c r="L360" s="3">
        <f t="shared" ref="L360" si="1044">AVERAGE(F204,F256,F308)</f>
        <v>511.66666666666669</v>
      </c>
    </row>
    <row r="361" spans="1:13" ht="14.25" x14ac:dyDescent="0.2">
      <c r="A361" s="21">
        <f t="shared" si="573"/>
        <v>41118</v>
      </c>
      <c r="B361" s="3">
        <f>3+235+165</f>
        <v>403</v>
      </c>
      <c r="C361" s="3">
        <f>23+4</f>
        <v>27</v>
      </c>
      <c r="D361" s="3">
        <f>2+14+5+26</f>
        <v>47</v>
      </c>
      <c r="E361" s="30">
        <f t="shared" si="954"/>
        <v>477</v>
      </c>
      <c r="F361" s="30">
        <v>456</v>
      </c>
      <c r="G361" s="3">
        <f t="shared" ref="G361" si="1045">F361-E361</f>
        <v>-21</v>
      </c>
      <c r="H361" s="49">
        <f t="shared" ref="H361" si="1046">(F361-F360)/F360</f>
        <v>-9.8814229249011856E-2</v>
      </c>
      <c r="I361" s="57">
        <f t="shared" ref="I361" si="1047">(E361-E360)/E360</f>
        <v>0.36285714285714288</v>
      </c>
      <c r="J361" s="30">
        <f t="shared" ref="J361" si="1048">E361-E360</f>
        <v>127</v>
      </c>
      <c r="K361" s="13">
        <f t="shared" ref="K361" si="1049">(F361-F309)/F309</f>
        <v>0.18134715025906736</v>
      </c>
      <c r="L361" s="3">
        <f t="shared" ref="L361" si="1050">AVERAGE(F205,F257,F309)</f>
        <v>410.66666666666669</v>
      </c>
    </row>
    <row r="362" spans="1:13" ht="14.25" x14ac:dyDescent="0.2">
      <c r="A362" s="21">
        <f t="shared" si="573"/>
        <v>41125</v>
      </c>
      <c r="B362" s="3">
        <f>3+167+1+178</f>
        <v>349</v>
      </c>
      <c r="C362" s="3">
        <f>20+3+1</f>
        <v>24</v>
      </c>
      <c r="D362" s="3">
        <f>4+29+2+41</f>
        <v>76</v>
      </c>
      <c r="E362" s="30">
        <f t="shared" si="954"/>
        <v>449</v>
      </c>
      <c r="F362" s="30">
        <v>465</v>
      </c>
      <c r="G362" s="3">
        <f t="shared" ref="G362" si="1051">F362-E362</f>
        <v>16</v>
      </c>
      <c r="H362" s="49">
        <f t="shared" ref="H362" si="1052">(F362-F361)/F361</f>
        <v>1.9736842105263157E-2</v>
      </c>
      <c r="I362" s="57">
        <f t="shared" ref="I362" si="1053">(E362-E361)/E361</f>
        <v>-5.8700209643605873E-2</v>
      </c>
      <c r="J362" s="30">
        <f t="shared" ref="J362" si="1054">E362-E361</f>
        <v>-28</v>
      </c>
      <c r="K362" s="13">
        <f t="shared" ref="K362" si="1055">(F362-F310)/F310</f>
        <v>-1.6913319238900635E-2</v>
      </c>
      <c r="L362" s="3">
        <f t="shared" ref="L362" si="1056">AVERAGE(F206,F258,F310)</f>
        <v>494.33333333333331</v>
      </c>
    </row>
    <row r="363" spans="1:13" ht="14.25" x14ac:dyDescent="0.2">
      <c r="A363" s="21">
        <f t="shared" si="573"/>
        <v>41132</v>
      </c>
      <c r="B363" s="3">
        <f>1+148+173</f>
        <v>322</v>
      </c>
      <c r="C363" s="3">
        <f>22+11+1</f>
        <v>34</v>
      </c>
      <c r="D363" s="3">
        <f>10+6+26</f>
        <v>42</v>
      </c>
      <c r="E363" s="30">
        <f t="shared" si="954"/>
        <v>398</v>
      </c>
      <c r="F363" s="30">
        <v>556</v>
      </c>
      <c r="G363" s="3">
        <f t="shared" ref="G363" si="1057">F363-E363</f>
        <v>158</v>
      </c>
      <c r="H363" s="49">
        <f t="shared" ref="H363" si="1058">(F363-F362)/F362</f>
        <v>0.19569892473118281</v>
      </c>
      <c r="I363" s="57">
        <f t="shared" ref="I363" si="1059">(E363-E362)/E362</f>
        <v>-0.11358574610244988</v>
      </c>
      <c r="J363" s="30">
        <f t="shared" ref="J363" si="1060">E363-E362</f>
        <v>-51</v>
      </c>
      <c r="K363" s="13">
        <f t="shared" ref="K363" si="1061">(F363-F311)/F311</f>
        <v>4.5112781954887216E-2</v>
      </c>
      <c r="L363" s="3">
        <f t="shared" ref="L363" si="1062">AVERAGE(F207,F259,F311)</f>
        <v>499</v>
      </c>
    </row>
    <row r="364" spans="1:13" ht="14.25" x14ac:dyDescent="0.2">
      <c r="A364" s="21">
        <f t="shared" si="573"/>
        <v>41139</v>
      </c>
      <c r="B364" s="3">
        <f>9+187+1+81</f>
        <v>278</v>
      </c>
      <c r="C364" s="3">
        <f>19+41</f>
        <v>60</v>
      </c>
      <c r="D364" s="3">
        <f>1+4+9</f>
        <v>14</v>
      </c>
      <c r="E364" s="30">
        <f t="shared" si="954"/>
        <v>352</v>
      </c>
      <c r="F364" s="30">
        <v>502</v>
      </c>
      <c r="G364" s="3">
        <f t="shared" ref="G364" si="1063">F364-E364</f>
        <v>150</v>
      </c>
      <c r="H364" s="49">
        <f t="shared" ref="H364" si="1064">(F364-F363)/F363</f>
        <v>-9.7122302158273388E-2</v>
      </c>
      <c r="I364" s="57">
        <f t="shared" ref="I364" si="1065">(E364-E363)/E363</f>
        <v>-0.11557788944723618</v>
      </c>
      <c r="J364" s="30">
        <f t="shared" ref="J364" si="1066">E364-E363</f>
        <v>-46</v>
      </c>
      <c r="K364" s="13">
        <f t="shared" ref="K364" si="1067">(F364-F312)/F312</f>
        <v>0.15935334872979215</v>
      </c>
      <c r="L364" s="3">
        <f t="shared" ref="L364" si="1068">AVERAGE(F208,F260,F312)</f>
        <v>501.66666666666669</v>
      </c>
    </row>
    <row r="365" spans="1:13" ht="14.25" x14ac:dyDescent="0.2">
      <c r="A365" s="21">
        <f t="shared" si="573"/>
        <v>41146</v>
      </c>
      <c r="B365" s="3">
        <f>6+56+1+48</f>
        <v>111</v>
      </c>
      <c r="C365" s="3">
        <f>19+33+1</f>
        <v>53</v>
      </c>
      <c r="D365" s="3">
        <f>0+9+11</f>
        <v>20</v>
      </c>
      <c r="E365" s="30">
        <f t="shared" si="954"/>
        <v>184</v>
      </c>
      <c r="F365" s="30">
        <v>554</v>
      </c>
      <c r="G365" s="3">
        <f t="shared" ref="G365" si="1069">F365-E365</f>
        <v>370</v>
      </c>
      <c r="H365" s="49">
        <f t="shared" ref="H365" si="1070">(F365-F364)/F364</f>
        <v>0.10358565737051793</v>
      </c>
      <c r="I365" s="57">
        <f t="shared" ref="I365" si="1071">(E365-E364)/E364</f>
        <v>-0.47727272727272729</v>
      </c>
      <c r="J365" s="30">
        <f t="shared" ref="J365" si="1072">E365-E364</f>
        <v>-168</v>
      </c>
      <c r="K365" s="13">
        <f t="shared" ref="K365" si="1073">(F365-F313)/F313</f>
        <v>0.1329243353783231</v>
      </c>
      <c r="L365" s="3">
        <f t="shared" ref="L365" si="1074">AVERAGE(F209,F261,F313)</f>
        <v>494.33333333333331</v>
      </c>
    </row>
    <row r="366" spans="1:13" ht="14.25" x14ac:dyDescent="0.2">
      <c r="A366" s="21">
        <f t="shared" si="573"/>
        <v>41153</v>
      </c>
      <c r="B366" s="3">
        <f>3+38+44</f>
        <v>85</v>
      </c>
      <c r="C366" s="3">
        <f>3+32+3</f>
        <v>38</v>
      </c>
      <c r="D366" s="3">
        <f>14+12+14</f>
        <v>40</v>
      </c>
      <c r="E366" s="30">
        <f t="shared" si="954"/>
        <v>163</v>
      </c>
      <c r="F366" s="30">
        <v>228</v>
      </c>
      <c r="G366" s="3">
        <f t="shared" ref="G366" si="1075">F366-E366</f>
        <v>65</v>
      </c>
      <c r="H366" s="49">
        <f t="shared" ref="H366" si="1076">(F366-F365)/F365</f>
        <v>-0.58844765342960292</v>
      </c>
      <c r="I366" s="57">
        <f t="shared" ref="I366" si="1077">(E366-E365)/E365</f>
        <v>-0.11413043478260869</v>
      </c>
      <c r="J366" s="30">
        <f t="shared" ref="J366" si="1078">E366-E365</f>
        <v>-21</v>
      </c>
      <c r="K366" s="13">
        <f t="shared" ref="K366" si="1079">(F366-F314)/F314</f>
        <v>-0.33137829912023459</v>
      </c>
      <c r="L366" s="3">
        <f t="shared" ref="L366" si="1080">AVERAGE(F210,F262,F314)</f>
        <v>494.66666666666669</v>
      </c>
    </row>
    <row r="367" spans="1:13" ht="14.25" x14ac:dyDescent="0.2">
      <c r="A367" s="21">
        <f t="shared" ref="A367:A424" si="1081">7+A366</f>
        <v>41160</v>
      </c>
      <c r="B367" s="3">
        <f>11+47+24</f>
        <v>82</v>
      </c>
      <c r="C367" s="3">
        <f>0+1+10</f>
        <v>11</v>
      </c>
      <c r="D367" s="3">
        <f>4+5+6</f>
        <v>15</v>
      </c>
      <c r="E367" s="30">
        <f t="shared" si="954"/>
        <v>108</v>
      </c>
      <c r="F367" s="30">
        <v>469</v>
      </c>
      <c r="G367" s="3">
        <f t="shared" ref="G367" si="1082">F367-E367</f>
        <v>361</v>
      </c>
      <c r="H367" s="49">
        <f t="shared" ref="H367" si="1083">(F367-F366)/F366</f>
        <v>1.0570175438596492</v>
      </c>
      <c r="I367" s="57">
        <f t="shared" ref="I367" si="1084">(E367-E366)/E366</f>
        <v>-0.33742331288343558</v>
      </c>
      <c r="J367" s="30">
        <f t="shared" ref="J367" si="1085">E367-E366</f>
        <v>-55</v>
      </c>
      <c r="K367" s="13">
        <f t="shared" ref="K367" si="1086">(F367-F315)/F315</f>
        <v>0.11666666666666667</v>
      </c>
      <c r="L367" s="3">
        <f t="shared" ref="L367" si="1087">AVERAGE(F211,F263,F315)</f>
        <v>435</v>
      </c>
    </row>
    <row r="368" spans="1:13" ht="14.25" x14ac:dyDescent="0.2">
      <c r="A368" s="21">
        <f t="shared" si="573"/>
        <v>41167</v>
      </c>
      <c r="B368" s="3">
        <f>5+29+14</f>
        <v>48</v>
      </c>
      <c r="C368" s="3">
        <f>10+18+37</f>
        <v>65</v>
      </c>
      <c r="D368" s="3">
        <f>5+22+1+7</f>
        <v>35</v>
      </c>
      <c r="E368" s="30">
        <f t="shared" si="954"/>
        <v>148</v>
      </c>
      <c r="F368" s="30">
        <v>603</v>
      </c>
      <c r="G368" s="3">
        <f t="shared" ref="G368" si="1088">F368-E368</f>
        <v>455</v>
      </c>
      <c r="H368" s="49">
        <f t="shared" ref="H368" si="1089">(F368-F367)/F367</f>
        <v>0.2857142857142857</v>
      </c>
      <c r="I368" s="57">
        <f t="shared" ref="I368" si="1090">(E368-E367)/E367</f>
        <v>0.37037037037037035</v>
      </c>
      <c r="J368" s="30">
        <f t="shared" ref="J368" si="1091">E368-E367</f>
        <v>40</v>
      </c>
      <c r="K368" s="13">
        <f t="shared" ref="K368" si="1092">(F368-F316)/F316</f>
        <v>0.55012853470437018</v>
      </c>
      <c r="L368" s="3">
        <f t="shared" ref="L368" si="1093">AVERAGE(F212,F264,F316)</f>
        <v>483.33333333333331</v>
      </c>
    </row>
    <row r="369" spans="1:13" ht="14.25" x14ac:dyDescent="0.2">
      <c r="A369" s="21">
        <f t="shared" si="1081"/>
        <v>41174</v>
      </c>
      <c r="B369" s="3">
        <f>2+52+12</f>
        <v>66</v>
      </c>
      <c r="C369" s="3">
        <f>20+4+17</f>
        <v>41</v>
      </c>
      <c r="D369" s="3">
        <f>2+3+12</f>
        <v>17</v>
      </c>
      <c r="E369" s="30">
        <f t="shared" ref="E369" si="1094">SUM(B369:D369)</f>
        <v>124</v>
      </c>
      <c r="F369" s="30">
        <v>649</v>
      </c>
      <c r="G369" s="3">
        <f t="shared" ref="G369" si="1095">F369-E369</f>
        <v>525</v>
      </c>
      <c r="H369" s="49">
        <f t="shared" ref="H369" si="1096">(F369-F368)/F368</f>
        <v>7.6285240464344942E-2</v>
      </c>
      <c r="I369" s="57">
        <f t="shared" ref="I369" si="1097">(E369-E368)/E368</f>
        <v>-0.16216216216216217</v>
      </c>
      <c r="J369" s="30">
        <f t="shared" ref="J369" si="1098">E369-E368</f>
        <v>-24</v>
      </c>
      <c r="K369" s="13">
        <f t="shared" ref="K369" si="1099">(F369-F317)/F317</f>
        <v>0.28769841269841268</v>
      </c>
      <c r="L369" s="3">
        <f t="shared" ref="L369" si="1100">AVERAGE(F213,F265,F317)</f>
        <v>561.33333333333337</v>
      </c>
    </row>
    <row r="370" spans="1:13" ht="14.25" x14ac:dyDescent="0.2">
      <c r="A370" s="21">
        <f t="shared" si="1081"/>
        <v>41181</v>
      </c>
      <c r="B370" s="3">
        <v>184</v>
      </c>
      <c r="C370" s="3">
        <v>57</v>
      </c>
      <c r="D370" s="3">
        <v>61</v>
      </c>
      <c r="E370" s="30">
        <f t="shared" ref="E370:E383" si="1101">SUM(B370:D370)</f>
        <v>302</v>
      </c>
      <c r="F370" s="30">
        <v>686</v>
      </c>
      <c r="G370" s="3">
        <f t="shared" ref="G370" si="1102">F370-E370</f>
        <v>384</v>
      </c>
      <c r="H370" s="49">
        <f t="shared" ref="H370" si="1103">(F370-F369)/F369</f>
        <v>5.7010785824345149E-2</v>
      </c>
      <c r="I370" s="57">
        <f t="shared" ref="I370" si="1104">(E370-E369)/E369</f>
        <v>1.435483870967742</v>
      </c>
      <c r="J370" s="30">
        <f t="shared" ref="J370" si="1105">E370-E369</f>
        <v>178</v>
      </c>
      <c r="K370" s="13">
        <f t="shared" ref="K370" si="1106">(F370-F318)/F318</f>
        <v>0.29433962264150942</v>
      </c>
      <c r="L370" s="3">
        <f t="shared" ref="L370" si="1107">AVERAGE(F214,F266,F318)</f>
        <v>529</v>
      </c>
    </row>
    <row r="371" spans="1:13" ht="14.25" x14ac:dyDescent="0.2">
      <c r="A371" s="21">
        <f t="shared" si="1081"/>
        <v>41188</v>
      </c>
      <c r="B371" s="3">
        <f>1+57+48</f>
        <v>106</v>
      </c>
      <c r="C371" s="3">
        <f>7+1+25</f>
        <v>33</v>
      </c>
      <c r="D371" s="3">
        <f>29+1+10</f>
        <v>40</v>
      </c>
      <c r="E371" s="30">
        <f t="shared" si="1101"/>
        <v>179</v>
      </c>
      <c r="F371" s="30">
        <v>598</v>
      </c>
      <c r="G371" s="3">
        <f t="shared" ref="G371" si="1108">F371-E371</f>
        <v>419</v>
      </c>
      <c r="H371" s="49">
        <f t="shared" ref="H371" si="1109">(F371-F370)/F370</f>
        <v>-0.1282798833819242</v>
      </c>
      <c r="I371" s="57">
        <f t="shared" ref="I371" si="1110">(E371-E370)/E370</f>
        <v>-0.40728476821192056</v>
      </c>
      <c r="J371" s="30">
        <f t="shared" ref="J371" si="1111">E371-E370</f>
        <v>-123</v>
      </c>
      <c r="K371" s="13">
        <f t="shared" ref="K371" si="1112">(F371-F319)/F319</f>
        <v>0.22792607802874743</v>
      </c>
      <c r="L371" s="3">
        <f t="shared" ref="L371" si="1113">AVERAGE(F215,F267,F319)</f>
        <v>522</v>
      </c>
    </row>
    <row r="372" spans="1:13" ht="14.25" x14ac:dyDescent="0.2">
      <c r="A372" s="21">
        <f t="shared" si="1081"/>
        <v>41195</v>
      </c>
      <c r="B372" s="3">
        <f>4+75+1+220</f>
        <v>300</v>
      </c>
      <c r="C372" s="3">
        <f>17+1+17</f>
        <v>35</v>
      </c>
      <c r="D372" s="3">
        <f>4+14+3+26</f>
        <v>47</v>
      </c>
      <c r="E372" s="30">
        <f t="shared" si="1101"/>
        <v>382</v>
      </c>
      <c r="F372" s="30">
        <v>714</v>
      </c>
      <c r="G372" s="3">
        <f t="shared" ref="G372" si="1114">F372-E372</f>
        <v>332</v>
      </c>
      <c r="H372" s="49">
        <f t="shared" ref="H372" si="1115">(F372-F371)/F371</f>
        <v>0.1939799331103679</v>
      </c>
      <c r="I372" s="57">
        <f t="shared" ref="I372" si="1116">(E372-E371)/E371</f>
        <v>1.1340782122905029</v>
      </c>
      <c r="J372" s="30">
        <f t="shared" ref="J372" si="1117">E372-E371</f>
        <v>203</v>
      </c>
      <c r="K372" s="13">
        <f t="shared" ref="K372" si="1118">(F372-F320)/F320</f>
        <v>0.37572254335260113</v>
      </c>
      <c r="L372" s="3">
        <f t="shared" ref="L372" si="1119">AVERAGE(F216,F268,F320)</f>
        <v>575</v>
      </c>
    </row>
    <row r="373" spans="1:13" ht="14.25" x14ac:dyDescent="0.2">
      <c r="A373" s="21">
        <f t="shared" si="1081"/>
        <v>41202</v>
      </c>
      <c r="B373" s="3">
        <f>7+98+0+265</f>
        <v>370</v>
      </c>
      <c r="C373" s="3">
        <f>16+25</f>
        <v>41</v>
      </c>
      <c r="D373" s="3">
        <f>15+5+51</f>
        <v>71</v>
      </c>
      <c r="E373" s="30">
        <f t="shared" si="1101"/>
        <v>482</v>
      </c>
      <c r="F373" s="30">
        <v>814</v>
      </c>
      <c r="G373" s="3">
        <f t="shared" ref="G373" si="1120">F373-E373</f>
        <v>332</v>
      </c>
      <c r="H373" s="49">
        <f t="shared" ref="H373" si="1121">(F373-F372)/F372</f>
        <v>0.14005602240896359</v>
      </c>
      <c r="I373" s="57">
        <f t="shared" ref="I373" si="1122">(E373-E372)/E372</f>
        <v>0.26178010471204188</v>
      </c>
      <c r="J373" s="30">
        <f t="shared" ref="J373" si="1123">E373-E372</f>
        <v>100</v>
      </c>
      <c r="K373" s="13">
        <f t="shared" ref="K373" si="1124">(F373-F321)/F321</f>
        <v>0.3024</v>
      </c>
      <c r="L373" s="3">
        <f t="shared" ref="L373" si="1125">AVERAGE(F217,F269,F321)</f>
        <v>622.33333333333337</v>
      </c>
    </row>
    <row r="374" spans="1:13" ht="14.25" x14ac:dyDescent="0.2">
      <c r="A374" s="21">
        <f t="shared" si="1081"/>
        <v>41209</v>
      </c>
      <c r="B374" s="3">
        <f>1+75+98</f>
        <v>174</v>
      </c>
      <c r="C374" s="3">
        <f>10+2+27</f>
        <v>39</v>
      </c>
      <c r="D374" s="3">
        <f>2+18+1+98</f>
        <v>119</v>
      </c>
      <c r="E374" s="30">
        <f t="shared" si="1101"/>
        <v>332</v>
      </c>
      <c r="F374" s="30">
        <v>843</v>
      </c>
      <c r="G374" s="3">
        <f t="shared" ref="G374" si="1126">F374-E374</f>
        <v>511</v>
      </c>
      <c r="H374" s="49">
        <f t="shared" ref="H374" si="1127">(F374-F373)/F373</f>
        <v>3.562653562653563E-2</v>
      </c>
      <c r="I374" s="57">
        <f t="shared" ref="I374" si="1128">(E374-E373)/E373</f>
        <v>-0.31120331950207469</v>
      </c>
      <c r="J374" s="30">
        <f t="shared" ref="J374" si="1129">E374-E373</f>
        <v>-150</v>
      </c>
      <c r="K374" s="13">
        <f t="shared" ref="K374" si="1130">(F374-F322)/F322</f>
        <v>0.21645021645021645</v>
      </c>
      <c r="L374" s="3">
        <f t="shared" ref="L374" si="1131">AVERAGE(F218,F270,F322)</f>
        <v>653.33333333333337</v>
      </c>
    </row>
    <row r="375" spans="1:13" ht="14.25" x14ac:dyDescent="0.2">
      <c r="A375" s="21">
        <f t="shared" si="1081"/>
        <v>41216</v>
      </c>
      <c r="B375" s="3">
        <f>3+142+167</f>
        <v>312</v>
      </c>
      <c r="C375" s="3">
        <f>3+0+32</f>
        <v>35</v>
      </c>
      <c r="D375" s="3">
        <f>1+21+1+127</f>
        <v>150</v>
      </c>
      <c r="E375" s="30">
        <f t="shared" si="1101"/>
        <v>497</v>
      </c>
      <c r="F375" s="30">
        <v>848</v>
      </c>
      <c r="G375" s="3">
        <f t="shared" ref="G375" si="1132">F375-E375</f>
        <v>351</v>
      </c>
      <c r="H375" s="49">
        <f t="shared" ref="H375" si="1133">(F375-F374)/F374</f>
        <v>5.9311981020166073E-3</v>
      </c>
      <c r="I375" s="57">
        <f t="shared" ref="I375" si="1134">(E375-E374)/E374</f>
        <v>0.49698795180722893</v>
      </c>
      <c r="J375" s="30">
        <f t="shared" ref="J375" si="1135">E375-E374</f>
        <v>165</v>
      </c>
      <c r="K375" s="13">
        <f t="shared" ref="K375" si="1136">(F375-F323)/F323</f>
        <v>0.17941585535465926</v>
      </c>
      <c r="L375" s="3">
        <f t="shared" ref="L375" si="1137">AVERAGE(F219,F271,F323)</f>
        <v>686</v>
      </c>
    </row>
    <row r="376" spans="1:13" ht="14.25" x14ac:dyDescent="0.2">
      <c r="A376" s="21">
        <f t="shared" si="1081"/>
        <v>41223</v>
      </c>
      <c r="B376" s="3">
        <f>139+3+129</f>
        <v>271</v>
      </c>
      <c r="C376" s="3">
        <f>7+27</f>
        <v>34</v>
      </c>
      <c r="D376" s="3">
        <f>13+2+97</f>
        <v>112</v>
      </c>
      <c r="E376" s="30">
        <f t="shared" si="1101"/>
        <v>417</v>
      </c>
      <c r="F376" s="30">
        <v>831</v>
      </c>
      <c r="G376" s="3">
        <f t="shared" ref="G376" si="1138">F376-E376</f>
        <v>414</v>
      </c>
      <c r="H376" s="49">
        <f t="shared" ref="H376" si="1139">(F376-F375)/F375</f>
        <v>-2.0047169811320754E-2</v>
      </c>
      <c r="I376" s="57">
        <f t="shared" ref="I376" si="1140">(E376-E375)/E375</f>
        <v>-0.16096579476861167</v>
      </c>
      <c r="J376" s="30">
        <f t="shared" ref="J376" si="1141">E376-E375</f>
        <v>-80</v>
      </c>
      <c r="K376" s="13">
        <f t="shared" ref="K376" si="1142">(F376-F324)/F324</f>
        <v>8.7696335078534027E-2</v>
      </c>
      <c r="L376" s="3">
        <f t="shared" ref="L376" si="1143">AVERAGE(F220,F272,F324)</f>
        <v>746</v>
      </c>
    </row>
    <row r="377" spans="1:13" ht="14.25" x14ac:dyDescent="0.2">
      <c r="A377" s="21">
        <f t="shared" si="1081"/>
        <v>41230</v>
      </c>
      <c r="B377" s="3">
        <f>4+100+140</f>
        <v>244</v>
      </c>
      <c r="C377" s="3">
        <f>5+6+41</f>
        <v>52</v>
      </c>
      <c r="D377" s="3">
        <f>1+25+81</f>
        <v>107</v>
      </c>
      <c r="E377" s="30">
        <f t="shared" si="1101"/>
        <v>403</v>
      </c>
      <c r="F377" s="30">
        <v>905</v>
      </c>
      <c r="G377" s="3">
        <f t="shared" ref="G377" si="1144">F377-E377</f>
        <v>502</v>
      </c>
      <c r="H377" s="49">
        <f t="shared" ref="H377" si="1145">(F377-F376)/F376</f>
        <v>8.9049338146811069E-2</v>
      </c>
      <c r="I377" s="57">
        <f t="shared" ref="I377" si="1146">(E377-E376)/E376</f>
        <v>-3.3573141486810551E-2</v>
      </c>
      <c r="J377" s="30">
        <f t="shared" ref="J377" si="1147">E377-E376</f>
        <v>-14</v>
      </c>
      <c r="K377" s="13">
        <f t="shared" ref="K377" si="1148">(F377-F325)/F325</f>
        <v>7.7380952380952384E-2</v>
      </c>
      <c r="L377" s="3">
        <f t="shared" ref="L377" si="1149">AVERAGE(F221,F273,F325)</f>
        <v>778.66666666666663</v>
      </c>
      <c r="M377" s="29" t="s">
        <v>41</v>
      </c>
    </row>
    <row r="378" spans="1:13" ht="14.25" x14ac:dyDescent="0.2">
      <c r="A378" s="21">
        <f t="shared" si="1081"/>
        <v>41237</v>
      </c>
      <c r="B378" s="3">
        <f>2+183+1+204</f>
        <v>390</v>
      </c>
      <c r="C378" s="3">
        <f>4+0+16</f>
        <v>20</v>
      </c>
      <c r="D378" s="3">
        <f>4+15+63</f>
        <v>82</v>
      </c>
      <c r="E378" s="30">
        <f t="shared" si="1101"/>
        <v>492</v>
      </c>
      <c r="F378" s="30">
        <v>655</v>
      </c>
      <c r="G378" s="3">
        <f t="shared" ref="G378" si="1150">F378-E378</f>
        <v>163</v>
      </c>
      <c r="H378" s="49">
        <f t="shared" ref="H378" si="1151">(F378-F377)/F377</f>
        <v>-0.27624309392265195</v>
      </c>
      <c r="I378" s="57">
        <f t="shared" ref="I378" si="1152">(E378-E377)/E377</f>
        <v>0.22084367245657568</v>
      </c>
      <c r="J378" s="30">
        <f t="shared" ref="J378" si="1153">E378-E377</f>
        <v>89</v>
      </c>
      <c r="K378" s="13">
        <f t="shared" ref="K378" si="1154">(F378-F326)/F326</f>
        <v>-1.7991004497751123E-2</v>
      </c>
      <c r="L378" s="3">
        <f t="shared" ref="L378" si="1155">AVERAGE(F222,F274,F326)</f>
        <v>640.66666666666663</v>
      </c>
      <c r="M378" s="29" t="s">
        <v>41</v>
      </c>
    </row>
    <row r="379" spans="1:13" ht="14.25" x14ac:dyDescent="0.2">
      <c r="A379" s="21">
        <f t="shared" si="1081"/>
        <v>41244</v>
      </c>
      <c r="B379" s="3">
        <f>1+169+1+0+290</f>
        <v>461</v>
      </c>
      <c r="C379" s="3">
        <f>13+3+27</f>
        <v>43</v>
      </c>
      <c r="D379" s="3">
        <f>1+29+59</f>
        <v>89</v>
      </c>
      <c r="E379" s="30">
        <f t="shared" si="1101"/>
        <v>593</v>
      </c>
      <c r="F379" s="30">
        <v>635</v>
      </c>
      <c r="G379" s="3">
        <f t="shared" ref="G379" si="1156">F379-E379</f>
        <v>42</v>
      </c>
      <c r="H379" s="49">
        <f t="shared" ref="H379" si="1157">(F379-F378)/F378</f>
        <v>-3.0534351145038167E-2</v>
      </c>
      <c r="I379" s="57">
        <f t="shared" ref="I379" si="1158">(E379-E378)/E378</f>
        <v>0.20528455284552846</v>
      </c>
      <c r="J379" s="30">
        <f t="shared" ref="J379" si="1159">E379-E378</f>
        <v>101</v>
      </c>
      <c r="K379" s="13">
        <f t="shared" ref="K379" si="1160">(F379-F327)/F327</f>
        <v>-0.11064425770308123</v>
      </c>
      <c r="L379" s="3">
        <f t="shared" ref="L379" si="1161">AVERAGE(F223,F275,F327)</f>
        <v>712.33333333333337</v>
      </c>
      <c r="M379" s="29" t="s">
        <v>41</v>
      </c>
    </row>
    <row r="380" spans="1:13" ht="14.25" x14ac:dyDescent="0.2">
      <c r="A380" s="21">
        <f t="shared" si="1081"/>
        <v>41251</v>
      </c>
      <c r="B380" s="3">
        <f>3+145+280</f>
        <v>428</v>
      </c>
      <c r="C380" s="3">
        <f>0</f>
        <v>0</v>
      </c>
      <c r="D380" s="3">
        <f>6+55+0+28</f>
        <v>89</v>
      </c>
      <c r="E380" s="30">
        <f t="shared" si="1101"/>
        <v>517</v>
      </c>
      <c r="F380" s="30">
        <v>632</v>
      </c>
      <c r="G380" s="3">
        <f t="shared" ref="G380" si="1162">F380-E380</f>
        <v>115</v>
      </c>
      <c r="H380" s="49">
        <f t="shared" ref="H380" si="1163">(F380-F379)/F379</f>
        <v>-4.7244094488188976E-3</v>
      </c>
      <c r="I380" s="57">
        <f t="shared" ref="I380" si="1164">(E380-E379)/E379</f>
        <v>-0.12816188870151771</v>
      </c>
      <c r="J380" s="30">
        <f t="shared" ref="J380" si="1165">E380-E379</f>
        <v>-76</v>
      </c>
      <c r="K380" s="13">
        <f t="shared" ref="K380" si="1166">(F380-F328)/F328</f>
        <v>-5.9523809523809521E-2</v>
      </c>
      <c r="L380" s="3">
        <f t="shared" ref="L380" si="1167">AVERAGE(F224,F276,F328)</f>
        <v>705.66666666666663</v>
      </c>
      <c r="M380" s="29" t="s">
        <v>41</v>
      </c>
    </row>
    <row r="381" spans="1:13" ht="14.25" x14ac:dyDescent="0.2">
      <c r="A381" s="21">
        <f t="shared" si="1081"/>
        <v>41258</v>
      </c>
      <c r="B381" s="3">
        <f>2+81+171</f>
        <v>254</v>
      </c>
      <c r="C381" s="3">
        <f>1+23</f>
        <v>24</v>
      </c>
      <c r="D381" s="3">
        <f>7+18+1+57</f>
        <v>83</v>
      </c>
      <c r="E381" s="30">
        <f t="shared" si="1101"/>
        <v>361</v>
      </c>
      <c r="F381" s="30">
        <v>634</v>
      </c>
      <c r="G381" s="3">
        <f t="shared" ref="G381" si="1168">F381-E381</f>
        <v>273</v>
      </c>
      <c r="H381" s="49">
        <f t="shared" ref="H381" si="1169">(F381-F380)/F380</f>
        <v>3.1645569620253164E-3</v>
      </c>
      <c r="I381" s="57">
        <f t="shared" ref="I381" si="1170">(E381-E380)/E380</f>
        <v>-0.30174081237911027</v>
      </c>
      <c r="J381" s="30">
        <f t="shared" ref="J381" si="1171">E381-E380</f>
        <v>-156</v>
      </c>
      <c r="K381" s="13">
        <f t="shared" ref="K381" si="1172">(F381-F329)/F329</f>
        <v>-3.5007610350076102E-2</v>
      </c>
      <c r="L381" s="3">
        <f t="shared" ref="L381" si="1173">AVERAGE(F225,F277,F329)</f>
        <v>618.33333333333337</v>
      </c>
      <c r="M381" s="29" t="s">
        <v>41</v>
      </c>
    </row>
    <row r="382" spans="1:13" ht="14.25" x14ac:dyDescent="0.2">
      <c r="A382" s="21">
        <f t="shared" si="1081"/>
        <v>41265</v>
      </c>
      <c r="B382" s="3">
        <f>6+58+99</f>
        <v>163</v>
      </c>
      <c r="C382" s="3">
        <f>10+12</f>
        <v>22</v>
      </c>
      <c r="D382" s="3">
        <f>3+26+68</f>
        <v>97</v>
      </c>
      <c r="E382" s="30">
        <f t="shared" si="1101"/>
        <v>282</v>
      </c>
      <c r="F382" s="30">
        <v>696</v>
      </c>
      <c r="G382" s="3">
        <f t="shared" ref="G382" si="1174">F382-E382</f>
        <v>414</v>
      </c>
      <c r="H382" s="49">
        <f t="shared" ref="H382" si="1175">(F382-F381)/F381</f>
        <v>9.7791798107255523E-2</v>
      </c>
      <c r="I382" s="57">
        <f t="shared" ref="I382" si="1176">(E382-E381)/E381</f>
        <v>-0.2188365650969529</v>
      </c>
      <c r="J382" s="30">
        <f t="shared" ref="J382" si="1177">E382-E381</f>
        <v>-79</v>
      </c>
      <c r="K382" s="13">
        <f t="shared" ref="K382" si="1178">(F382-F330)/F330</f>
        <v>8.6956521739130436E-3</v>
      </c>
      <c r="L382" s="3">
        <f t="shared" ref="L382:L392" si="1179">AVERAGE(F226,F278,F330)</f>
        <v>633.66666666666663</v>
      </c>
      <c r="M382" s="29" t="s">
        <v>41</v>
      </c>
    </row>
    <row r="383" spans="1:13" ht="14.25" x14ac:dyDescent="0.2">
      <c r="A383" s="21">
        <f t="shared" si="1081"/>
        <v>41272</v>
      </c>
      <c r="B383" s="3">
        <f>19+68</f>
        <v>87</v>
      </c>
      <c r="C383" s="3">
        <f>2+0+5</f>
        <v>7</v>
      </c>
      <c r="D383" s="3">
        <f>6+20+79</f>
        <v>105</v>
      </c>
      <c r="E383" s="30">
        <f t="shared" si="1101"/>
        <v>199</v>
      </c>
      <c r="F383" s="30">
        <v>600</v>
      </c>
      <c r="G383" s="3">
        <f t="shared" ref="G383" si="1180">F383-E383</f>
        <v>401</v>
      </c>
      <c r="H383" s="49">
        <f t="shared" ref="H383" si="1181">(F383-F382)/F382</f>
        <v>-0.13793103448275862</v>
      </c>
      <c r="I383" s="57">
        <f t="shared" ref="I383" si="1182">(E383-E382)/E382</f>
        <v>-0.29432624113475175</v>
      </c>
      <c r="J383" s="30">
        <f t="shared" ref="J383" si="1183">E383-E382</f>
        <v>-83</v>
      </c>
      <c r="K383" s="13">
        <f t="shared" ref="K383" si="1184">(F383-F331)/F331</f>
        <v>8.6956521739130432E-2</v>
      </c>
      <c r="L383" s="3">
        <f t="shared" ref="L383" si="1185">AVERAGE(F227,F279,F331)</f>
        <v>584</v>
      </c>
      <c r="M383" s="29" t="s">
        <v>41</v>
      </c>
    </row>
    <row r="384" spans="1:13" ht="14.25" x14ac:dyDescent="0.2">
      <c r="A384" s="21">
        <v>41279</v>
      </c>
      <c r="B384" s="3">
        <v>137</v>
      </c>
      <c r="C384" s="3">
        <v>38</v>
      </c>
      <c r="D384" s="3">
        <v>77</v>
      </c>
      <c r="E384" s="30">
        <v>252</v>
      </c>
      <c r="F384" s="30">
        <v>427</v>
      </c>
      <c r="G384" s="3">
        <f t="shared" ref="G384" si="1186">F384-E384</f>
        <v>175</v>
      </c>
      <c r="H384" s="49">
        <f t="shared" ref="H384" si="1187">(F384-F383)/F383</f>
        <v>-0.28833333333333333</v>
      </c>
      <c r="I384" s="57">
        <f t="shared" ref="I384" si="1188">(E384-E383)/E383</f>
        <v>0.26633165829145727</v>
      </c>
      <c r="J384" s="30">
        <f t="shared" ref="J384" si="1189">E384-E383</f>
        <v>53</v>
      </c>
      <c r="K384" s="13">
        <f t="shared" ref="K384" si="1190">(F384-F332)/F332</f>
        <v>-0.37298091042584436</v>
      </c>
      <c r="L384" s="3">
        <f t="shared" si="1179"/>
        <v>711.66666666666663</v>
      </c>
      <c r="M384" s="29" t="s">
        <v>41</v>
      </c>
    </row>
    <row r="385" spans="1:13" ht="14.25" x14ac:dyDescent="0.2">
      <c r="A385" s="21">
        <f t="shared" si="1081"/>
        <v>41286</v>
      </c>
      <c r="B385" s="3">
        <v>110</v>
      </c>
      <c r="C385" s="3">
        <v>16</v>
      </c>
      <c r="D385" s="3">
        <v>129</v>
      </c>
      <c r="E385" s="30">
        <v>255</v>
      </c>
      <c r="F385" s="30">
        <v>509</v>
      </c>
      <c r="G385" s="3">
        <f t="shared" ref="G385" si="1191">F385-E385</f>
        <v>254</v>
      </c>
      <c r="H385" s="49">
        <f t="shared" ref="H385" si="1192">(F385-F384)/F384</f>
        <v>0.19203747072599531</v>
      </c>
      <c r="I385" s="57">
        <f t="shared" ref="I385" si="1193">(E385-E384)/E384</f>
        <v>1.1904761904761904E-2</v>
      </c>
      <c r="J385" s="30">
        <f t="shared" ref="J385" si="1194">E385-E384</f>
        <v>3</v>
      </c>
      <c r="K385" s="13">
        <f t="shared" ref="K385" si="1195">(F385-F333)/F333</f>
        <v>-0.39404761904761904</v>
      </c>
      <c r="L385" s="3">
        <f t="shared" ref="L385" si="1196">AVERAGE(F229,F281,F333)</f>
        <v>727</v>
      </c>
      <c r="M385" s="29" t="s">
        <v>41</v>
      </c>
    </row>
    <row r="386" spans="1:13" ht="14.25" x14ac:dyDescent="0.2">
      <c r="A386" s="21">
        <f t="shared" si="1081"/>
        <v>41293</v>
      </c>
      <c r="B386" s="3">
        <v>184</v>
      </c>
      <c r="C386" s="3">
        <v>29</v>
      </c>
      <c r="D386" s="3">
        <v>145</v>
      </c>
      <c r="E386" s="30">
        <v>358</v>
      </c>
      <c r="F386" s="30">
        <v>572</v>
      </c>
      <c r="G386" s="3">
        <f t="shared" ref="G386" si="1197">F386-E386</f>
        <v>214</v>
      </c>
      <c r="H386" s="49">
        <f t="shared" ref="H386" si="1198">(F386-F385)/F385</f>
        <v>0.1237721021611002</v>
      </c>
      <c r="I386" s="57">
        <f t="shared" ref="I386" si="1199">(E386-E385)/E385</f>
        <v>0.40392156862745099</v>
      </c>
      <c r="J386" s="30">
        <f t="shared" ref="J386" si="1200">E386-E385</f>
        <v>103</v>
      </c>
      <c r="K386" s="13">
        <f t="shared" ref="K386" si="1201">(F386-F334)/F334</f>
        <v>-0.25906735751295334</v>
      </c>
      <c r="L386" s="3">
        <f t="shared" ref="L386" si="1202">AVERAGE(F230,F282,F334)</f>
        <v>684.33333333333337</v>
      </c>
    </row>
    <row r="387" spans="1:13" ht="14.25" x14ac:dyDescent="0.2">
      <c r="A387" s="21">
        <f t="shared" si="1081"/>
        <v>41300</v>
      </c>
      <c r="B387" s="3">
        <f>1+20+106</f>
        <v>127</v>
      </c>
      <c r="C387" s="3">
        <f>8+8</f>
        <v>16</v>
      </c>
      <c r="D387" s="3">
        <f>25+16+123</f>
        <v>164</v>
      </c>
      <c r="E387" s="30">
        <f>SUM(B387:D387)</f>
        <v>307</v>
      </c>
      <c r="F387" s="30">
        <v>643</v>
      </c>
      <c r="G387" s="3">
        <f t="shared" ref="G387" si="1203">F387-E387</f>
        <v>336</v>
      </c>
      <c r="H387" s="49">
        <f t="shared" ref="H387" si="1204">(F387-F386)/F386</f>
        <v>0.12412587412587413</v>
      </c>
      <c r="I387" s="57">
        <f t="shared" ref="I387" si="1205">(E387-E386)/E386</f>
        <v>-0.14245810055865921</v>
      </c>
      <c r="J387" s="30">
        <f t="shared" ref="J387" si="1206">E387-E386</f>
        <v>-51</v>
      </c>
      <c r="K387" s="13">
        <f t="shared" ref="K387" si="1207">(F387-F335)/F335</f>
        <v>-0.18915510718789408</v>
      </c>
      <c r="L387" s="3">
        <f t="shared" ref="L387" si="1208">AVERAGE(F231,F283,F335)</f>
        <v>747</v>
      </c>
    </row>
    <row r="388" spans="1:13" ht="14.25" x14ac:dyDescent="0.2">
      <c r="A388" s="21">
        <f t="shared" si="1081"/>
        <v>41307</v>
      </c>
      <c r="B388" s="3">
        <f>40+65</f>
        <v>105</v>
      </c>
      <c r="C388" s="3">
        <f>15+1+17</f>
        <v>33</v>
      </c>
      <c r="D388" s="3">
        <f>12+19+104</f>
        <v>135</v>
      </c>
      <c r="E388" s="30">
        <f>SUM(B388:D388)</f>
        <v>273</v>
      </c>
      <c r="F388" s="30">
        <v>513</v>
      </c>
      <c r="G388" s="3">
        <f t="shared" ref="G388" si="1209">F388-E388</f>
        <v>240</v>
      </c>
      <c r="H388" s="49">
        <f t="shared" ref="H388" si="1210">(F388-F387)/F387</f>
        <v>-0.20217729393468117</v>
      </c>
      <c r="I388" s="57">
        <f t="shared" ref="I388" si="1211">(E388-E387)/E387</f>
        <v>-0.11074918566775244</v>
      </c>
      <c r="J388" s="30">
        <f t="shared" ref="J388" si="1212">E388-E387</f>
        <v>-34</v>
      </c>
      <c r="K388" s="13">
        <f t="shared" ref="K388" si="1213">(F388-F336)/F336</f>
        <v>-0.21917808219178081</v>
      </c>
      <c r="L388" s="3">
        <f t="shared" ref="L388" si="1214">AVERAGE(F232,F284,F336)</f>
        <v>650.66666666666663</v>
      </c>
    </row>
    <row r="389" spans="1:13" ht="14.25" x14ac:dyDescent="0.2">
      <c r="A389" s="21">
        <f t="shared" si="1081"/>
        <v>41314</v>
      </c>
      <c r="B389" s="3">
        <f>7+36+82</f>
        <v>125</v>
      </c>
      <c r="C389" s="3">
        <f>21+0+12</f>
        <v>33</v>
      </c>
      <c r="D389" s="3">
        <f>30+10+9+98</f>
        <v>147</v>
      </c>
      <c r="E389" s="30">
        <f>SUM(B389:D389)</f>
        <v>305</v>
      </c>
      <c r="F389" s="30">
        <v>531</v>
      </c>
      <c r="G389" s="3">
        <f t="shared" ref="G389" si="1215">F389-E389</f>
        <v>226</v>
      </c>
      <c r="H389" s="49">
        <f t="shared" ref="H389" si="1216">(F389-F388)/F388</f>
        <v>3.5087719298245612E-2</v>
      </c>
      <c r="I389" s="57">
        <f t="shared" ref="I389" si="1217">(E389-E388)/E388</f>
        <v>0.11721611721611722</v>
      </c>
      <c r="J389" s="30">
        <f t="shared" ref="J389" si="1218">E389-E388</f>
        <v>32</v>
      </c>
      <c r="K389" s="13">
        <f t="shared" ref="K389" si="1219">(F389-F337)/F337</f>
        <v>-0.2552594670406732</v>
      </c>
      <c r="L389" s="3">
        <f t="shared" ref="L389" si="1220">AVERAGE(F233,F285,F337)</f>
        <v>668.33333333333337</v>
      </c>
    </row>
    <row r="390" spans="1:13" ht="14.25" x14ac:dyDescent="0.2">
      <c r="A390" s="21">
        <f t="shared" si="1081"/>
        <v>41321</v>
      </c>
      <c r="B390" s="3">
        <f>32+79+69</f>
        <v>180</v>
      </c>
      <c r="C390" s="3">
        <f>16+0+6</f>
        <v>22</v>
      </c>
      <c r="D390" s="3">
        <f>30+16+4+54</f>
        <v>104</v>
      </c>
      <c r="E390" s="30">
        <f t="shared" ref="E390:E391" si="1221">SUM(B390:D390)</f>
        <v>306</v>
      </c>
      <c r="F390" s="30">
        <v>498</v>
      </c>
      <c r="G390" s="3">
        <f t="shared" ref="G390" si="1222">F390-E390</f>
        <v>192</v>
      </c>
      <c r="H390" s="49">
        <f t="shared" ref="H390" si="1223">(F390-F389)/F389</f>
        <v>-6.2146892655367235E-2</v>
      </c>
      <c r="I390" s="57">
        <f t="shared" ref="I390" si="1224">(E390-E389)/E389</f>
        <v>3.2786885245901639E-3</v>
      </c>
      <c r="J390" s="30">
        <f t="shared" ref="J390" si="1225">E390-E389</f>
        <v>1</v>
      </c>
      <c r="K390" s="13">
        <f t="shared" ref="K390" si="1226">(F390-F338)/F338</f>
        <v>-0.17138103161397669</v>
      </c>
      <c r="L390" s="3">
        <f t="shared" ref="L390" si="1227">AVERAGE(F234,F286,F338)</f>
        <v>678</v>
      </c>
    </row>
    <row r="391" spans="1:13" ht="14.25" x14ac:dyDescent="0.2">
      <c r="A391" s="21">
        <f t="shared" si="1081"/>
        <v>41328</v>
      </c>
      <c r="B391" s="3">
        <f>33+40+47</f>
        <v>120</v>
      </c>
      <c r="C391" s="3">
        <f>36+6</f>
        <v>42</v>
      </c>
      <c r="D391" s="3">
        <f>13+28+2+65</f>
        <v>108</v>
      </c>
      <c r="E391" s="30">
        <f t="shared" si="1221"/>
        <v>270</v>
      </c>
      <c r="F391" s="30">
        <v>589</v>
      </c>
      <c r="G391" s="3">
        <f t="shared" ref="G391" si="1228">F391-E391</f>
        <v>319</v>
      </c>
      <c r="H391" s="49">
        <f t="shared" ref="H391" si="1229">(F391-F390)/F390</f>
        <v>0.18273092369477911</v>
      </c>
      <c r="I391" s="57">
        <f t="shared" ref="I391" si="1230">(E391-E390)/E390</f>
        <v>-0.11764705882352941</v>
      </c>
      <c r="J391" s="30">
        <f t="shared" ref="J391" si="1231">E391-E390</f>
        <v>-36</v>
      </c>
      <c r="K391" s="13">
        <f t="shared" ref="K391" si="1232">(F391-F339)/F339</f>
        <v>4.6181172291296625E-2</v>
      </c>
      <c r="L391" s="3">
        <f t="shared" ref="L391" si="1233">AVERAGE(F235,F287,F339)</f>
        <v>658.66666666666663</v>
      </c>
    </row>
    <row r="392" spans="1:13" ht="14.25" x14ac:dyDescent="0.2">
      <c r="A392" s="21">
        <f t="shared" si="1081"/>
        <v>41335</v>
      </c>
      <c r="B392" s="3">
        <v>97</v>
      </c>
      <c r="C392" s="3">
        <v>21</v>
      </c>
      <c r="D392" s="3">
        <v>100</v>
      </c>
      <c r="E392" s="30">
        <f t="shared" ref="E392:E399" si="1234">SUM(B392:D392)</f>
        <v>218</v>
      </c>
      <c r="F392" s="30">
        <v>503</v>
      </c>
      <c r="G392" s="3">
        <f t="shared" ref="G392:G397" si="1235">F392-E392</f>
        <v>285</v>
      </c>
      <c r="H392" s="49">
        <f t="shared" ref="H392" si="1236">(F392-F391)/F391</f>
        <v>-0.14601018675721561</v>
      </c>
      <c r="I392" s="57">
        <f t="shared" ref="I392:I397" si="1237">(E392-E391)/E391</f>
        <v>-0.19259259259259259</v>
      </c>
      <c r="J392" s="30">
        <f t="shared" ref="J392:J397" si="1238">E392-E391</f>
        <v>-52</v>
      </c>
      <c r="K392" s="13">
        <f t="shared" ref="K392" si="1239">(F392-F340)/F340</f>
        <v>-0.15177065767284992</v>
      </c>
      <c r="L392" s="3">
        <f t="shared" si="1179"/>
        <v>628</v>
      </c>
    </row>
    <row r="393" spans="1:13" ht="14.25" x14ac:dyDescent="0.2">
      <c r="A393" s="21">
        <f t="shared" si="1081"/>
        <v>41342</v>
      </c>
      <c r="B393" s="3">
        <f>73+95+68</f>
        <v>236</v>
      </c>
      <c r="C393" s="3">
        <f>18+1+7</f>
        <v>26</v>
      </c>
      <c r="D393" s="3">
        <f>19+46+2+47</f>
        <v>114</v>
      </c>
      <c r="E393" s="30">
        <f t="shared" si="1234"/>
        <v>376</v>
      </c>
      <c r="F393" s="30">
        <v>380</v>
      </c>
      <c r="G393" s="3">
        <f t="shared" si="1235"/>
        <v>4</v>
      </c>
      <c r="H393" s="49">
        <f t="shared" ref="H393" si="1240">(F393-F392)/F392</f>
        <v>-0.24453280318091453</v>
      </c>
      <c r="I393" s="57">
        <f t="shared" si="1237"/>
        <v>0.72477064220183485</v>
      </c>
      <c r="J393" s="30">
        <f t="shared" si="1238"/>
        <v>158</v>
      </c>
      <c r="K393" s="13">
        <f t="shared" ref="K393" si="1241">(F393-F341)/F341</f>
        <v>-0.22920892494929007</v>
      </c>
      <c r="L393" s="3">
        <f t="shared" ref="L393" si="1242">AVERAGE(F237,F289,F341)</f>
        <v>546.33333333333337</v>
      </c>
    </row>
    <row r="394" spans="1:13" ht="14.25" x14ac:dyDescent="0.2">
      <c r="A394" s="21">
        <f t="shared" si="1081"/>
        <v>41349</v>
      </c>
      <c r="B394" s="3">
        <f>66+65+38</f>
        <v>169</v>
      </c>
      <c r="C394" s="3">
        <f>1+7+20</f>
        <v>28</v>
      </c>
      <c r="D394" s="3">
        <f>51+1+25+16</f>
        <v>93</v>
      </c>
      <c r="E394" s="30">
        <f t="shared" si="1234"/>
        <v>290</v>
      </c>
      <c r="F394" s="30">
        <v>448</v>
      </c>
      <c r="G394" s="3">
        <f t="shared" si="1235"/>
        <v>158</v>
      </c>
      <c r="H394" s="49">
        <f t="shared" ref="H394" si="1243">(F394-F393)/F393</f>
        <v>0.17894736842105263</v>
      </c>
      <c r="I394" s="57">
        <f t="shared" si="1237"/>
        <v>-0.22872340425531915</v>
      </c>
      <c r="J394" s="30">
        <f t="shared" si="1238"/>
        <v>-86</v>
      </c>
      <c r="K394" s="13">
        <f t="shared" ref="K394" si="1244">(F394-F342)/F342</f>
        <v>-1.9693654266958426E-2</v>
      </c>
      <c r="L394" s="3">
        <f t="shared" ref="L394" si="1245">AVERAGE(F238,F290,F342)</f>
        <v>596.33333333333337</v>
      </c>
    </row>
    <row r="395" spans="1:13" ht="14.25" x14ac:dyDescent="0.2">
      <c r="A395" s="21">
        <f t="shared" si="1081"/>
        <v>41356</v>
      </c>
      <c r="B395" s="3">
        <f>36+82+3+38</f>
        <v>159</v>
      </c>
      <c r="C395" s="3">
        <f>24+7</f>
        <v>31</v>
      </c>
      <c r="D395" s="3">
        <f>19+15+24</f>
        <v>58</v>
      </c>
      <c r="E395" s="30">
        <f t="shared" si="1234"/>
        <v>248</v>
      </c>
      <c r="F395" s="30">
        <v>397</v>
      </c>
      <c r="G395" s="3">
        <f t="shared" si="1235"/>
        <v>149</v>
      </c>
      <c r="H395" s="49">
        <f t="shared" ref="H395" si="1246">(F395-F394)/F394</f>
        <v>-0.11383928571428571</v>
      </c>
      <c r="I395" s="57">
        <f t="shared" si="1237"/>
        <v>-0.14482758620689656</v>
      </c>
      <c r="J395" s="30">
        <f t="shared" si="1238"/>
        <v>-42</v>
      </c>
      <c r="K395" s="13">
        <f t="shared" ref="K395" si="1247">(F395-F343)/F343</f>
        <v>-0.19959677419354838</v>
      </c>
      <c r="L395" s="3">
        <f t="shared" ref="L395" si="1248">AVERAGE(F239,F291,F343)</f>
        <v>591.33333333333337</v>
      </c>
    </row>
    <row r="396" spans="1:13" ht="14.25" x14ac:dyDescent="0.2">
      <c r="A396" s="21">
        <f t="shared" si="1081"/>
        <v>41363</v>
      </c>
      <c r="B396" s="3">
        <f>42+103+25</f>
        <v>170</v>
      </c>
      <c r="C396" s="3">
        <f>18+0+6</f>
        <v>24</v>
      </c>
      <c r="D396" s="3">
        <f>5+32+12+7</f>
        <v>56</v>
      </c>
      <c r="E396" s="30">
        <f t="shared" si="1234"/>
        <v>250</v>
      </c>
      <c r="F396" s="30">
        <v>363</v>
      </c>
      <c r="G396" s="3">
        <f t="shared" si="1235"/>
        <v>113</v>
      </c>
      <c r="H396" s="49">
        <f t="shared" ref="H396" si="1249">(F396-F395)/F395</f>
        <v>-8.5642317380352648E-2</v>
      </c>
      <c r="I396" s="57">
        <f t="shared" si="1237"/>
        <v>8.0645161290322578E-3</v>
      </c>
      <c r="J396" s="30">
        <f t="shared" si="1238"/>
        <v>2</v>
      </c>
      <c r="K396" s="13">
        <f t="shared" ref="K396" si="1250">(F396-F344)/F344</f>
        <v>-0.24688796680497926</v>
      </c>
      <c r="L396" s="3">
        <f t="shared" ref="L396" si="1251">AVERAGE(F240,F292,F344)</f>
        <v>468</v>
      </c>
    </row>
    <row r="397" spans="1:13" ht="14.25" x14ac:dyDescent="0.2">
      <c r="A397" s="21">
        <f t="shared" si="1081"/>
        <v>41370</v>
      </c>
      <c r="B397" s="3">
        <f>10+55+3+30</f>
        <v>98</v>
      </c>
      <c r="C397" s="3">
        <f>19+0+1+1</f>
        <v>21</v>
      </c>
      <c r="D397" s="3">
        <f>7+33+1+22</f>
        <v>63</v>
      </c>
      <c r="E397" s="30">
        <f t="shared" si="1234"/>
        <v>182</v>
      </c>
      <c r="F397" s="30">
        <v>311</v>
      </c>
      <c r="G397" s="3">
        <f t="shared" si="1235"/>
        <v>129</v>
      </c>
      <c r="H397" s="49">
        <f t="shared" ref="H397" si="1252">(F397-F396)/F396</f>
        <v>-0.14325068870523416</v>
      </c>
      <c r="I397" s="57">
        <f t="shared" si="1237"/>
        <v>-0.27200000000000002</v>
      </c>
      <c r="J397" s="30">
        <f t="shared" si="1238"/>
        <v>-68</v>
      </c>
      <c r="K397" s="13">
        <f t="shared" ref="K397" si="1253">(F397-F345)/F345</f>
        <v>-0.37171717171717172</v>
      </c>
      <c r="L397" s="3">
        <f t="shared" ref="L397" si="1254">AVERAGE(F241,F293,F345)</f>
        <v>476.33333333333331</v>
      </c>
    </row>
    <row r="398" spans="1:13" ht="14.25" x14ac:dyDescent="0.2">
      <c r="A398" s="21">
        <f t="shared" si="1081"/>
        <v>41377</v>
      </c>
      <c r="B398" s="3">
        <f>20+83+33</f>
        <v>136</v>
      </c>
      <c r="C398" s="3">
        <f>24+0</f>
        <v>24</v>
      </c>
      <c r="D398" s="3">
        <f>12+27+17</f>
        <v>56</v>
      </c>
      <c r="E398" s="30">
        <f t="shared" si="1234"/>
        <v>216</v>
      </c>
      <c r="F398" s="30">
        <v>327</v>
      </c>
      <c r="G398" s="3">
        <f t="shared" ref="G398" si="1255">F398-E398</f>
        <v>111</v>
      </c>
      <c r="H398" s="49">
        <f t="shared" ref="H398" si="1256">(F398-F397)/F397</f>
        <v>5.1446945337620578E-2</v>
      </c>
      <c r="I398" s="57">
        <f t="shared" ref="I398" si="1257">(E398-E397)/E397</f>
        <v>0.18681318681318682</v>
      </c>
      <c r="J398" s="30">
        <f t="shared" ref="J398" si="1258">E398-E397</f>
        <v>34</v>
      </c>
      <c r="K398" s="13">
        <f t="shared" ref="K398" si="1259">(F398-F346)/F346</f>
        <v>-0.49614791987673346</v>
      </c>
      <c r="L398" s="3">
        <f t="shared" ref="L398" si="1260">AVERAGE(F242,F294,F346)</f>
        <v>519</v>
      </c>
    </row>
    <row r="399" spans="1:13" ht="14.25" x14ac:dyDescent="0.2">
      <c r="A399" s="21">
        <f t="shared" si="1081"/>
        <v>41384</v>
      </c>
      <c r="B399" s="3">
        <f>24+49+38</f>
        <v>111</v>
      </c>
      <c r="C399" s="3">
        <f>21+0</f>
        <v>21</v>
      </c>
      <c r="D399" s="3">
        <f>4+30+3+9</f>
        <v>46</v>
      </c>
      <c r="E399" s="30">
        <f t="shared" si="1234"/>
        <v>178</v>
      </c>
      <c r="F399" s="30">
        <v>378</v>
      </c>
      <c r="G399" s="3">
        <f t="shared" ref="G399" si="1261">F399-E399</f>
        <v>200</v>
      </c>
      <c r="H399" s="49">
        <f t="shared" ref="H399" si="1262">(F399-F398)/F398</f>
        <v>0.15596330275229359</v>
      </c>
      <c r="I399" s="57">
        <f t="shared" ref="I399" si="1263">(E399-E398)/E398</f>
        <v>-0.17592592592592593</v>
      </c>
      <c r="J399" s="30">
        <f t="shared" ref="J399" si="1264">E399-E398</f>
        <v>-38</v>
      </c>
      <c r="K399" s="13">
        <f t="shared" ref="K399" si="1265">(F399-F347)/F347</f>
        <v>-0.20588235294117646</v>
      </c>
      <c r="L399" s="3">
        <f t="shared" ref="L399" si="1266">AVERAGE(F243,F295,F347)</f>
        <v>366</v>
      </c>
    </row>
    <row r="400" spans="1:13" ht="14.25" x14ac:dyDescent="0.2">
      <c r="A400" s="21">
        <f t="shared" si="1081"/>
        <v>41391</v>
      </c>
      <c r="B400" s="3">
        <v>25</v>
      </c>
      <c r="C400" s="3">
        <v>24</v>
      </c>
      <c r="D400" s="3">
        <v>27</v>
      </c>
      <c r="E400" s="30">
        <f t="shared" ref="E400:E407" si="1267">SUM(B400:D400)</f>
        <v>76</v>
      </c>
      <c r="F400" s="30">
        <v>278</v>
      </c>
      <c r="G400" s="3">
        <f t="shared" ref="G400" si="1268">F400-E400</f>
        <v>202</v>
      </c>
      <c r="H400" s="49">
        <f t="shared" ref="H400" si="1269">(F400-F399)/F399</f>
        <v>-0.26455026455026454</v>
      </c>
      <c r="I400" s="57">
        <f t="shared" ref="I400" si="1270">(E400-E399)/E399</f>
        <v>-0.5730337078651685</v>
      </c>
      <c r="J400" s="30">
        <f t="shared" ref="J400" si="1271">E400-E399</f>
        <v>-102</v>
      </c>
      <c r="K400" s="13">
        <f t="shared" ref="K400" si="1272">(F400-F348)/F348</f>
        <v>-0.10897435897435898</v>
      </c>
      <c r="L400" s="3">
        <f t="shared" ref="L400" si="1273">AVERAGE(F244,F296,F348)</f>
        <v>335.66666666666669</v>
      </c>
    </row>
    <row r="401" spans="1:13" ht="14.25" x14ac:dyDescent="0.2">
      <c r="A401" s="21">
        <f t="shared" si="1081"/>
        <v>41398</v>
      </c>
      <c r="B401" s="3">
        <f>18+129+8+35</f>
        <v>190</v>
      </c>
      <c r="C401" s="3">
        <f>19+0+3</f>
        <v>22</v>
      </c>
      <c r="D401" s="3">
        <f>2+52+0+25</f>
        <v>79</v>
      </c>
      <c r="E401" s="30">
        <f t="shared" si="1267"/>
        <v>291</v>
      </c>
      <c r="F401" s="30">
        <v>234</v>
      </c>
      <c r="G401" s="3">
        <f t="shared" ref="G401" si="1274">F401-E401</f>
        <v>-57</v>
      </c>
      <c r="H401" s="49">
        <f t="shared" ref="H401" si="1275">(F401-F400)/F400</f>
        <v>-0.15827338129496402</v>
      </c>
      <c r="I401" s="57">
        <f t="shared" ref="I401" si="1276">(E401-E400)/E400</f>
        <v>2.8289473684210527</v>
      </c>
      <c r="J401" s="30">
        <f t="shared" ref="J401" si="1277">E401-E400</f>
        <v>215</v>
      </c>
      <c r="K401" s="13">
        <f t="shared" ref="K401" si="1278">(F401-F349)/F349</f>
        <v>-0.4375</v>
      </c>
      <c r="L401" s="3">
        <f t="shared" ref="L401" si="1279">AVERAGE(F245,F297,F349)</f>
        <v>408.33333333333331</v>
      </c>
    </row>
    <row r="402" spans="1:13" ht="14.25" x14ac:dyDescent="0.2">
      <c r="A402" s="21">
        <f t="shared" si="1081"/>
        <v>41405</v>
      </c>
      <c r="B402" s="3">
        <f>13+93+29</f>
        <v>135</v>
      </c>
      <c r="C402" s="3">
        <f>14+1</f>
        <v>15</v>
      </c>
      <c r="D402" s="3">
        <f>1+38+1+14</f>
        <v>54</v>
      </c>
      <c r="E402" s="30">
        <f t="shared" si="1267"/>
        <v>204</v>
      </c>
      <c r="F402" s="30">
        <v>202</v>
      </c>
      <c r="G402" s="3">
        <f t="shared" ref="G402" si="1280">F402-E402</f>
        <v>-2</v>
      </c>
      <c r="H402" s="49">
        <f t="shared" ref="H402" si="1281">(F402-F401)/F401</f>
        <v>-0.13675213675213677</v>
      </c>
      <c r="I402" s="57">
        <f t="shared" ref="I402" si="1282">(E402-E401)/E401</f>
        <v>-0.29896907216494845</v>
      </c>
      <c r="J402" s="30">
        <f t="shared" ref="J402" si="1283">E402-E401</f>
        <v>-87</v>
      </c>
      <c r="K402" s="13">
        <f t="shared" ref="K402" si="1284">(F402-F350)/F350</f>
        <v>-0.68970814132104452</v>
      </c>
      <c r="L402" s="3">
        <f t="shared" ref="L402" si="1285">AVERAGE(F246,F298,F350)</f>
        <v>480.66666666666669</v>
      </c>
    </row>
    <row r="403" spans="1:13" ht="14.25" x14ac:dyDescent="0.2">
      <c r="A403" s="21">
        <f t="shared" si="1081"/>
        <v>41412</v>
      </c>
      <c r="B403" s="3">
        <f>22+154+64</f>
        <v>240</v>
      </c>
      <c r="C403" s="3">
        <v>16</v>
      </c>
      <c r="D403" s="3">
        <f>7+19+1+6</f>
        <v>33</v>
      </c>
      <c r="E403" s="30">
        <f t="shared" si="1267"/>
        <v>289</v>
      </c>
      <c r="F403" s="30">
        <v>376</v>
      </c>
      <c r="G403" s="3">
        <f t="shared" ref="G403" si="1286">F403-E403</f>
        <v>87</v>
      </c>
      <c r="H403" s="49">
        <f t="shared" ref="H403" si="1287">(F403-F402)/F402</f>
        <v>0.86138613861386137</v>
      </c>
      <c r="I403" s="57">
        <f t="shared" ref="I403" si="1288">(E403-E402)/E402</f>
        <v>0.41666666666666669</v>
      </c>
      <c r="J403" s="30">
        <f t="shared" ref="J403" si="1289">E403-E402</f>
        <v>85</v>
      </c>
      <c r="K403" s="13">
        <f t="shared" ref="K403" si="1290">(F403-F351)/F351</f>
        <v>-9.8321342925659472E-2</v>
      </c>
      <c r="L403" s="3">
        <f t="shared" ref="L403" si="1291">AVERAGE(F247,F299,F351)</f>
        <v>432.66666666666669</v>
      </c>
    </row>
    <row r="404" spans="1:13" ht="14.25" x14ac:dyDescent="0.2">
      <c r="A404" s="21">
        <f t="shared" si="1081"/>
        <v>41419</v>
      </c>
      <c r="B404" s="3">
        <f>29+138+45</f>
        <v>212</v>
      </c>
      <c r="C404" s="3">
        <f>16+1+0</f>
        <v>17</v>
      </c>
      <c r="D404" s="3">
        <f>7+23+2+10</f>
        <v>42</v>
      </c>
      <c r="E404" s="30">
        <f t="shared" si="1267"/>
        <v>271</v>
      </c>
      <c r="F404" s="30">
        <v>382</v>
      </c>
      <c r="G404" s="3">
        <f t="shared" ref="G404" si="1292">F404-E404</f>
        <v>111</v>
      </c>
      <c r="H404" s="49">
        <f t="shared" ref="H404" si="1293">(F404-F403)/F403</f>
        <v>1.5957446808510637E-2</v>
      </c>
      <c r="I404" s="57">
        <f t="shared" ref="I404" si="1294">(E404-E403)/E403</f>
        <v>-6.228373702422145E-2</v>
      </c>
      <c r="J404" s="30">
        <f t="shared" ref="J404" si="1295">E404-E403</f>
        <v>-18</v>
      </c>
      <c r="K404" s="13">
        <f t="shared" ref="K404" si="1296">(F404-F352)/F352</f>
        <v>-0.11162790697674418</v>
      </c>
      <c r="L404" s="3">
        <f t="shared" ref="L404" si="1297">AVERAGE(F248,F300,F352)</f>
        <v>433.33333333333331</v>
      </c>
    </row>
    <row r="405" spans="1:13" ht="14.25" x14ac:dyDescent="0.2">
      <c r="A405" s="21">
        <f t="shared" si="1081"/>
        <v>41426</v>
      </c>
      <c r="B405" s="3">
        <f>23+129+56</f>
        <v>208</v>
      </c>
      <c r="C405" s="3">
        <f>7+0</f>
        <v>7</v>
      </c>
      <c r="D405" s="3">
        <f>3+20+1+9</f>
        <v>33</v>
      </c>
      <c r="E405" s="30">
        <f t="shared" si="1267"/>
        <v>248</v>
      </c>
      <c r="F405" s="30">
        <v>267</v>
      </c>
      <c r="G405" s="3">
        <f t="shared" ref="G405" si="1298">F405-E405</f>
        <v>19</v>
      </c>
      <c r="H405" s="49">
        <f t="shared" ref="H405" si="1299">(F405-F404)/F404</f>
        <v>-0.30104712041884818</v>
      </c>
      <c r="I405" s="57">
        <f t="shared" ref="I405" si="1300">(E405-E404)/E404</f>
        <v>-8.4870848708487087E-2</v>
      </c>
      <c r="J405" s="30">
        <f t="shared" ref="J405" si="1301">E405-E404</f>
        <v>-23</v>
      </c>
      <c r="K405" s="13">
        <f t="shared" ref="K405" si="1302">(F405-F353)/F353</f>
        <v>-0.25833333333333336</v>
      </c>
      <c r="L405" s="3">
        <f t="shared" ref="L405" si="1303">AVERAGE(F249,F301,F353)</f>
        <v>409.33333333333331</v>
      </c>
    </row>
    <row r="406" spans="1:13" ht="14.25" x14ac:dyDescent="0.2">
      <c r="A406" s="21">
        <f t="shared" si="1081"/>
        <v>41433</v>
      </c>
      <c r="B406" s="3">
        <f>29+3+15</f>
        <v>47</v>
      </c>
      <c r="C406" s="3">
        <f>12+0+2</f>
        <v>14</v>
      </c>
      <c r="D406" s="3">
        <f>7+12+16</f>
        <v>35</v>
      </c>
      <c r="E406" s="30">
        <f t="shared" si="1267"/>
        <v>96</v>
      </c>
      <c r="F406" s="30">
        <v>313</v>
      </c>
      <c r="G406" s="3">
        <f t="shared" ref="G406" si="1304">F406-E406</f>
        <v>217</v>
      </c>
      <c r="H406" s="49">
        <f t="shared" ref="H406" si="1305">(F406-F405)/F405</f>
        <v>0.17228464419475656</v>
      </c>
      <c r="I406" s="57">
        <f t="shared" ref="I406" si="1306">(E406-E405)/E405</f>
        <v>-0.61290322580645162</v>
      </c>
      <c r="J406" s="30">
        <f t="shared" ref="J406" si="1307">E406-E405</f>
        <v>-152</v>
      </c>
      <c r="K406" s="13">
        <f t="shared" ref="K406" si="1308">(F406-F354)/F354</f>
        <v>0.2880658436213992</v>
      </c>
      <c r="L406" s="3">
        <f t="shared" ref="L406" si="1309">AVERAGE(F250,F302,F354)</f>
        <v>335.33333333333331</v>
      </c>
      <c r="M406" s="29" t="s">
        <v>42</v>
      </c>
    </row>
    <row r="407" spans="1:13" ht="14.25" x14ac:dyDescent="0.2">
      <c r="A407" s="21">
        <f t="shared" si="1081"/>
        <v>41440</v>
      </c>
      <c r="B407" s="3">
        <f>16+141+38</f>
        <v>195</v>
      </c>
      <c r="C407" s="3">
        <f>11+0</f>
        <v>11</v>
      </c>
      <c r="D407" s="3">
        <f>4+17+16</f>
        <v>37</v>
      </c>
      <c r="E407" s="30">
        <f t="shared" si="1267"/>
        <v>243</v>
      </c>
      <c r="F407" s="30">
        <v>260</v>
      </c>
      <c r="G407" s="3">
        <f t="shared" ref="G407" si="1310">F407-E407</f>
        <v>17</v>
      </c>
      <c r="H407" s="49">
        <f t="shared" ref="H407" si="1311">(F407-F406)/F406</f>
        <v>-0.16932907348242812</v>
      </c>
      <c r="I407" s="57">
        <f t="shared" ref="I407" si="1312">(E407-E406)/E406</f>
        <v>1.53125</v>
      </c>
      <c r="J407" s="30">
        <f t="shared" ref="J407" si="1313">E407-E406</f>
        <v>147</v>
      </c>
      <c r="K407" s="13">
        <f t="shared" ref="K407" si="1314">(F407-F355)/F355</f>
        <v>-0.38823529411764707</v>
      </c>
      <c r="L407" s="3">
        <f t="shared" ref="L407" si="1315">AVERAGE(F251,F303,F355)</f>
        <v>415.66666666666669</v>
      </c>
    </row>
    <row r="408" spans="1:13" ht="14.25" x14ac:dyDescent="0.2">
      <c r="A408" s="21">
        <f t="shared" si="1081"/>
        <v>41447</v>
      </c>
      <c r="B408" s="3">
        <f>17+174+42</f>
        <v>233</v>
      </c>
      <c r="C408" s="3">
        <v>36</v>
      </c>
      <c r="D408" s="3">
        <v>58</v>
      </c>
      <c r="E408" s="30">
        <f t="shared" ref="E408:E474" si="1316">SUM(B408:D408)</f>
        <v>327</v>
      </c>
      <c r="F408" s="30">
        <v>328</v>
      </c>
      <c r="G408" s="3">
        <f t="shared" ref="G408" si="1317">F408-E408</f>
        <v>1</v>
      </c>
      <c r="H408" s="49">
        <f t="shared" ref="H408" si="1318">(F408-F407)/F407</f>
        <v>0.26153846153846155</v>
      </c>
      <c r="I408" s="57">
        <f t="shared" ref="I408" si="1319">(E408-E407)/E407</f>
        <v>0.34567901234567899</v>
      </c>
      <c r="J408" s="30">
        <f t="shared" ref="J408" si="1320">E408-E407</f>
        <v>84</v>
      </c>
      <c r="K408" s="13">
        <f t="shared" ref="K408" si="1321">(F408-F356)/F356</f>
        <v>-0.10382513661202186</v>
      </c>
      <c r="L408" s="3">
        <f t="shared" ref="L408" si="1322">AVERAGE(F252,F304,F356)</f>
        <v>425.33333333333331</v>
      </c>
    </row>
    <row r="409" spans="1:13" ht="14.25" x14ac:dyDescent="0.2">
      <c r="A409" s="21">
        <f t="shared" si="1081"/>
        <v>41454</v>
      </c>
      <c r="B409" s="3">
        <f>2+165+41</f>
        <v>208</v>
      </c>
      <c r="C409" s="3">
        <f>21+0+1</f>
        <v>22</v>
      </c>
      <c r="D409" s="3">
        <f>22+10+6</f>
        <v>38</v>
      </c>
      <c r="E409" s="30">
        <f t="shared" si="1316"/>
        <v>268</v>
      </c>
      <c r="F409" s="30">
        <v>394</v>
      </c>
      <c r="G409" s="3">
        <f t="shared" ref="G409" si="1323">F409-E409</f>
        <v>126</v>
      </c>
      <c r="H409" s="49">
        <f t="shared" ref="H409" si="1324">(F409-F408)/F408</f>
        <v>0.20121951219512196</v>
      </c>
      <c r="I409" s="57">
        <f t="shared" ref="I409" si="1325">(E409-E408)/E408</f>
        <v>-0.18042813455657492</v>
      </c>
      <c r="J409" s="30">
        <f t="shared" ref="J409" si="1326">E409-E408</f>
        <v>-59</v>
      </c>
      <c r="K409" s="13">
        <f t="shared" ref="K409" si="1327">(F409-F357)/F357</f>
        <v>-0.20883534136546184</v>
      </c>
      <c r="L409" s="3">
        <f t="shared" ref="L409" si="1328">AVERAGE(F253,F305,F357)</f>
        <v>455.33333333333331</v>
      </c>
    </row>
    <row r="410" spans="1:13" ht="14.25" x14ac:dyDescent="0.2">
      <c r="A410" s="21">
        <f t="shared" si="1081"/>
        <v>41461</v>
      </c>
      <c r="B410" s="3">
        <f>1+69+32</f>
        <v>102</v>
      </c>
      <c r="C410" s="3">
        <v>41</v>
      </c>
      <c r="D410" s="3">
        <f>62+28+11</f>
        <v>101</v>
      </c>
      <c r="E410" s="30">
        <f t="shared" si="1316"/>
        <v>244</v>
      </c>
      <c r="F410" s="30">
        <v>287</v>
      </c>
      <c r="G410" s="3">
        <f t="shared" ref="G410" si="1329">F410-E410</f>
        <v>43</v>
      </c>
      <c r="H410" s="49">
        <f t="shared" ref="H410" si="1330">(F410-F409)/F409</f>
        <v>-0.27157360406091369</v>
      </c>
      <c r="I410" s="57">
        <f t="shared" ref="I410" si="1331">(E410-E409)/E409</f>
        <v>-8.9552238805970144E-2</v>
      </c>
      <c r="J410" s="30">
        <f t="shared" ref="J410" si="1332">E410-E409</f>
        <v>-24</v>
      </c>
      <c r="K410" s="13">
        <f t="shared" ref="K410" si="1333">(F410-F358)/F358</f>
        <v>-0.36080178173719374</v>
      </c>
      <c r="L410" s="3">
        <f t="shared" ref="L410" si="1334">AVERAGE(F254,F306,F358)</f>
        <v>458</v>
      </c>
    </row>
    <row r="411" spans="1:13" ht="14.25" x14ac:dyDescent="0.2">
      <c r="A411" s="21">
        <f t="shared" si="1081"/>
        <v>41468</v>
      </c>
      <c r="B411" s="3">
        <f>8+169+1+73</f>
        <v>251</v>
      </c>
      <c r="C411" s="3">
        <f>63+0+1</f>
        <v>64</v>
      </c>
      <c r="D411" s="3">
        <f>59+13+11</f>
        <v>83</v>
      </c>
      <c r="E411" s="30">
        <f t="shared" si="1316"/>
        <v>398</v>
      </c>
      <c r="F411" s="30">
        <v>430</v>
      </c>
      <c r="G411" s="3">
        <f t="shared" ref="G411" si="1335">F411-E411</f>
        <v>32</v>
      </c>
      <c r="H411" s="49">
        <f t="shared" ref="H411" si="1336">(F411-F410)/F410</f>
        <v>0.49825783972125437</v>
      </c>
      <c r="I411" s="57">
        <f t="shared" ref="I411" si="1337">(E411-E410)/E410</f>
        <v>0.63114754098360659</v>
      </c>
      <c r="J411" s="30">
        <f t="shared" ref="J411" si="1338">E411-E410</f>
        <v>154</v>
      </c>
      <c r="K411" s="13">
        <f t="shared" ref="K411" si="1339">(F411-F359)/F359</f>
        <v>9.9744245524296671E-2</v>
      </c>
      <c r="L411" s="3">
        <f t="shared" ref="L411" si="1340">AVERAGE(F255,F307,F359)</f>
        <v>471</v>
      </c>
    </row>
    <row r="412" spans="1:13" ht="14.25" x14ac:dyDescent="0.2">
      <c r="A412" s="21">
        <f t="shared" si="1081"/>
        <v>41475</v>
      </c>
      <c r="B412" s="3">
        <f>7+76+42</f>
        <v>125</v>
      </c>
      <c r="C412" s="3">
        <f>25+0+4</f>
        <v>29</v>
      </c>
      <c r="D412" s="3">
        <f>44+17+6</f>
        <v>67</v>
      </c>
      <c r="E412" s="30">
        <f t="shared" si="1316"/>
        <v>221</v>
      </c>
      <c r="F412" s="30">
        <v>315</v>
      </c>
      <c r="G412" s="3">
        <f t="shared" ref="G412" si="1341">F412-E412</f>
        <v>94</v>
      </c>
      <c r="H412" s="49">
        <f t="shared" ref="H412" si="1342">(F412-F411)/F411</f>
        <v>-0.26744186046511625</v>
      </c>
      <c r="I412" s="57">
        <f t="shared" ref="I412" si="1343">(E412-E411)/E411</f>
        <v>-0.44472361809045224</v>
      </c>
      <c r="J412" s="30">
        <f t="shared" ref="J412" si="1344">E412-E411</f>
        <v>-177</v>
      </c>
      <c r="K412" s="13">
        <f t="shared" ref="K412" si="1345">(F412-F360)/F360</f>
        <v>-0.37747035573122528</v>
      </c>
      <c r="L412" s="3">
        <f t="shared" ref="L412" si="1346">AVERAGE(F256,F308,F360)</f>
        <v>455</v>
      </c>
    </row>
    <row r="413" spans="1:13" ht="14.25" x14ac:dyDescent="0.2">
      <c r="A413" s="21">
        <f t="shared" si="1081"/>
        <v>41482</v>
      </c>
      <c r="B413" s="3">
        <f>17+104+6+43</f>
        <v>170</v>
      </c>
      <c r="C413" s="3">
        <v>41</v>
      </c>
      <c r="D413" s="3">
        <f>46+19+3+4</f>
        <v>72</v>
      </c>
      <c r="E413" s="30">
        <f t="shared" si="1316"/>
        <v>283</v>
      </c>
      <c r="F413" s="30">
        <v>329</v>
      </c>
      <c r="G413" s="3">
        <f t="shared" ref="G413" si="1347">F413-E413</f>
        <v>46</v>
      </c>
      <c r="H413" s="49">
        <f t="shared" ref="H413" si="1348">(F413-F412)/F412</f>
        <v>4.4444444444444446E-2</v>
      </c>
      <c r="I413" s="57">
        <f t="shared" ref="I413" si="1349">(E413-E412)/E412</f>
        <v>0.28054298642533937</v>
      </c>
      <c r="J413" s="30">
        <f t="shared" ref="J413" si="1350">E413-E412</f>
        <v>62</v>
      </c>
      <c r="K413" s="13">
        <f t="shared" ref="K413" si="1351">(F413-F361)/F361</f>
        <v>-0.27850877192982454</v>
      </c>
      <c r="L413" s="3">
        <f t="shared" ref="L413" si="1352">AVERAGE(F257,F309,F361)</f>
        <v>402</v>
      </c>
    </row>
    <row r="414" spans="1:13" ht="14.25" x14ac:dyDescent="0.2">
      <c r="A414" s="21">
        <f t="shared" si="1081"/>
        <v>41489</v>
      </c>
      <c r="B414" s="3">
        <f>16+86+54</f>
        <v>156</v>
      </c>
      <c r="C414" s="3">
        <f>42+1</f>
        <v>43</v>
      </c>
      <c r="D414" s="3">
        <f>33+9+4</f>
        <v>46</v>
      </c>
      <c r="E414" s="30">
        <f t="shared" si="1316"/>
        <v>245</v>
      </c>
      <c r="F414" s="30">
        <v>376</v>
      </c>
      <c r="G414" s="3">
        <f t="shared" ref="G414" si="1353">F414-E414</f>
        <v>131</v>
      </c>
      <c r="H414" s="49">
        <f t="shared" ref="H414" si="1354">(F414-F413)/F413</f>
        <v>0.14285714285714285</v>
      </c>
      <c r="I414" s="57">
        <f t="shared" ref="I414" si="1355">(E414-E413)/E413</f>
        <v>-0.13427561837455831</v>
      </c>
      <c r="J414" s="30">
        <f t="shared" ref="J414" si="1356">E414-E413</f>
        <v>-38</v>
      </c>
      <c r="K414" s="13">
        <f t="shared" ref="K414" si="1357">(F414-F362)/F362</f>
        <v>-0.1913978494623656</v>
      </c>
      <c r="L414" s="3">
        <f t="shared" ref="L414" si="1358">AVERAGE(F258,F310,F362)</f>
        <v>464.33333333333331</v>
      </c>
    </row>
    <row r="415" spans="1:13" ht="14.25" x14ac:dyDescent="0.2">
      <c r="A415" s="21">
        <f t="shared" si="1081"/>
        <v>41496</v>
      </c>
      <c r="B415" s="3">
        <f>18+74+1+60</f>
        <v>153</v>
      </c>
      <c r="C415" s="3">
        <v>41</v>
      </c>
      <c r="D415" s="3">
        <f>78+11+0+1</f>
        <v>90</v>
      </c>
      <c r="E415" s="30">
        <f t="shared" si="1316"/>
        <v>284</v>
      </c>
      <c r="F415" s="30">
        <v>376</v>
      </c>
      <c r="G415" s="3">
        <f t="shared" ref="G415" si="1359">F415-E415</f>
        <v>92</v>
      </c>
      <c r="H415" s="49">
        <f t="shared" ref="H415" si="1360">(F415-F414)/F414</f>
        <v>0</v>
      </c>
      <c r="I415" s="57">
        <f t="shared" ref="I415" si="1361">(E415-E414)/E414</f>
        <v>0.15918367346938775</v>
      </c>
      <c r="J415" s="30">
        <f t="shared" ref="J415" si="1362">E415-E414</f>
        <v>39</v>
      </c>
      <c r="K415" s="13">
        <f t="shared" ref="K415" si="1363">(F415-F363)/F363</f>
        <v>-0.32374100719424459</v>
      </c>
      <c r="L415" s="3">
        <f t="shared" ref="L415" si="1364">AVERAGE(F259,F311,F363)</f>
        <v>531.33333333333337</v>
      </c>
    </row>
    <row r="416" spans="1:13" ht="14.25" x14ac:dyDescent="0.2">
      <c r="A416" s="21">
        <f t="shared" si="1081"/>
        <v>41503</v>
      </c>
      <c r="B416" s="3">
        <f>22+46+23</f>
        <v>91</v>
      </c>
      <c r="C416" s="3">
        <f>10</f>
        <v>10</v>
      </c>
      <c r="D416" s="3">
        <f>114+6+8</f>
        <v>128</v>
      </c>
      <c r="E416" s="30">
        <f t="shared" si="1316"/>
        <v>229</v>
      </c>
      <c r="F416" s="30">
        <v>380</v>
      </c>
      <c r="G416" s="3">
        <f t="shared" ref="G416" si="1365">F416-E416</f>
        <v>151</v>
      </c>
      <c r="H416" s="49">
        <f t="shared" ref="H416" si="1366">(F416-F415)/F415</f>
        <v>1.0638297872340425E-2</v>
      </c>
      <c r="I416" s="57">
        <f t="shared" ref="I416" si="1367">(E416-E415)/E415</f>
        <v>-0.19366197183098591</v>
      </c>
      <c r="J416" s="30">
        <f t="shared" ref="J416" si="1368">E416-E415</f>
        <v>-55</v>
      </c>
      <c r="K416" s="13">
        <f t="shared" ref="K416" si="1369">(F416-F364)/F364</f>
        <v>-0.24302788844621515</v>
      </c>
      <c r="L416" s="3">
        <f t="shared" ref="L416" si="1370">AVERAGE(F260,F312,F364)</f>
        <v>487.66666666666669</v>
      </c>
    </row>
    <row r="417" spans="1:12" ht="14.25" x14ac:dyDescent="0.2">
      <c r="A417" s="21">
        <f t="shared" si="1081"/>
        <v>41510</v>
      </c>
      <c r="B417" s="3">
        <f>12+17+16</f>
        <v>45</v>
      </c>
      <c r="C417" s="3">
        <f>42+3+1</f>
        <v>46</v>
      </c>
      <c r="D417" s="3">
        <f>58+1+3+6</f>
        <v>68</v>
      </c>
      <c r="E417" s="30">
        <f t="shared" si="1316"/>
        <v>159</v>
      </c>
      <c r="F417" s="30">
        <v>377</v>
      </c>
      <c r="G417" s="3">
        <f t="shared" ref="G417" si="1371">F417-E417</f>
        <v>218</v>
      </c>
      <c r="H417" s="49">
        <f t="shared" ref="H417" si="1372">(F417-F416)/F416</f>
        <v>-7.8947368421052634E-3</v>
      </c>
      <c r="I417" s="57">
        <f t="shared" ref="I417" si="1373">(E417-E416)/E416</f>
        <v>-0.3056768558951965</v>
      </c>
      <c r="J417" s="30">
        <f t="shared" ref="J417" si="1374">E417-E416</f>
        <v>-70</v>
      </c>
      <c r="K417" s="13">
        <f t="shared" ref="K417" si="1375">(F417-F365)/F365</f>
        <v>-0.31949458483754511</v>
      </c>
      <c r="L417" s="3">
        <f t="shared" ref="L417" si="1376">AVERAGE(F261,F313,F365)</f>
        <v>497.66666666666669</v>
      </c>
    </row>
    <row r="418" spans="1:12" ht="14.25" x14ac:dyDescent="0.2">
      <c r="A418" s="21">
        <f t="shared" si="1081"/>
        <v>41517</v>
      </c>
      <c r="B418" s="3">
        <f>11+15+16</f>
        <v>42</v>
      </c>
      <c r="C418" s="3">
        <f>5+14</f>
        <v>19</v>
      </c>
      <c r="D418" s="3">
        <f>18+6+4</f>
        <v>28</v>
      </c>
      <c r="E418" s="30">
        <f t="shared" si="1316"/>
        <v>89</v>
      </c>
      <c r="F418" s="30">
        <v>391</v>
      </c>
      <c r="G418" s="3">
        <f t="shared" ref="G418" si="1377">F418-E418</f>
        <v>302</v>
      </c>
      <c r="H418" s="49">
        <f t="shared" ref="H418" si="1378">(F418-F417)/F417</f>
        <v>3.7135278514588858E-2</v>
      </c>
      <c r="I418" s="57">
        <f t="shared" ref="I418" si="1379">(E418-E417)/E417</f>
        <v>-0.44025157232704404</v>
      </c>
      <c r="J418" s="30">
        <f t="shared" ref="J418" si="1380">E418-E417</f>
        <v>-70</v>
      </c>
      <c r="K418" s="13">
        <f t="shared" ref="K418" si="1381">(F418-F366)/F366</f>
        <v>0.71491228070175439</v>
      </c>
      <c r="L418" s="3">
        <f t="shared" ref="L418" si="1382">AVERAGE(F262,F314,F366)</f>
        <v>368.66666666666669</v>
      </c>
    </row>
    <row r="419" spans="1:12" ht="14.25" x14ac:dyDescent="0.2">
      <c r="A419" s="21">
        <f t="shared" si="1081"/>
        <v>41524</v>
      </c>
      <c r="B419" s="3">
        <f>11+22+14</f>
        <v>47</v>
      </c>
      <c r="C419" s="3">
        <f>62+9+12</f>
        <v>83</v>
      </c>
      <c r="D419" s="3">
        <f>34+4+3</f>
        <v>41</v>
      </c>
      <c r="E419" s="30">
        <f t="shared" si="1316"/>
        <v>171</v>
      </c>
      <c r="F419" s="30">
        <v>462</v>
      </c>
      <c r="G419" s="3">
        <f t="shared" ref="G419" si="1383">F419-E419</f>
        <v>291</v>
      </c>
      <c r="H419" s="49">
        <f t="shared" ref="H419" si="1384">(F419-F418)/F418</f>
        <v>0.1815856777493606</v>
      </c>
      <c r="I419" s="57">
        <f t="shared" ref="I419" si="1385">(E419-E418)/E418</f>
        <v>0.9213483146067416</v>
      </c>
      <c r="J419" s="30">
        <f t="shared" ref="J419" si="1386">E419-E418</f>
        <v>82</v>
      </c>
      <c r="K419" s="13">
        <f t="shared" ref="K419" si="1387">(F419-F367)/F367</f>
        <v>-1.4925373134328358E-2</v>
      </c>
      <c r="L419" s="3">
        <f t="shared" ref="L419" si="1388">AVERAGE(F263,F315,F367)</f>
        <v>439</v>
      </c>
    </row>
    <row r="420" spans="1:12" ht="14.25" x14ac:dyDescent="0.2">
      <c r="A420" s="21">
        <f t="shared" si="1081"/>
        <v>41531</v>
      </c>
      <c r="B420" s="3">
        <f>18+20+18</f>
        <v>56</v>
      </c>
      <c r="C420" s="3">
        <f>27+25</f>
        <v>52</v>
      </c>
      <c r="D420" s="3">
        <f>18+8+2+6</f>
        <v>34</v>
      </c>
      <c r="E420" s="30">
        <f t="shared" si="1316"/>
        <v>142</v>
      </c>
      <c r="F420" s="30">
        <v>527</v>
      </c>
      <c r="G420" s="3">
        <f t="shared" ref="G420" si="1389">F420-E420</f>
        <v>385</v>
      </c>
      <c r="H420" s="49">
        <f t="shared" ref="H420" si="1390">(F420-F419)/F419</f>
        <v>0.1406926406926407</v>
      </c>
      <c r="I420" s="57">
        <f t="shared" ref="I420" si="1391">(E420-E419)/E419</f>
        <v>-0.16959064327485379</v>
      </c>
      <c r="J420" s="30">
        <f t="shared" ref="J420" si="1392">E420-E419</f>
        <v>-29</v>
      </c>
      <c r="K420" s="13">
        <f t="shared" ref="K420" si="1393">(F420-F368)/F368</f>
        <v>-0.12603648424543948</v>
      </c>
      <c r="L420" s="3">
        <f t="shared" ref="L420" si="1394">AVERAGE(F264,F316,F368)</f>
        <v>513</v>
      </c>
    </row>
    <row r="421" spans="1:12" ht="14.25" x14ac:dyDescent="0.2">
      <c r="A421" s="21">
        <f t="shared" si="1081"/>
        <v>41538</v>
      </c>
      <c r="B421" s="3">
        <f>26+22+0+5</f>
        <v>53</v>
      </c>
      <c r="C421" s="3">
        <f>24+49+18</f>
        <v>91</v>
      </c>
      <c r="D421" s="3">
        <f>23+20+2</f>
        <v>45</v>
      </c>
      <c r="E421" s="30">
        <f t="shared" si="1316"/>
        <v>189</v>
      </c>
      <c r="F421" s="30">
        <v>676</v>
      </c>
      <c r="G421" s="3">
        <f t="shared" ref="G421" si="1395">F421-E421</f>
        <v>487</v>
      </c>
      <c r="H421" s="49">
        <f t="shared" ref="H421" si="1396">(F421-F420)/F420</f>
        <v>0.2827324478178368</v>
      </c>
      <c r="I421" s="57">
        <f t="shared" ref="I421" si="1397">(E421-E420)/E420</f>
        <v>0.33098591549295775</v>
      </c>
      <c r="J421" s="30">
        <f t="shared" ref="J421" si="1398">E421-E420</f>
        <v>47</v>
      </c>
      <c r="K421" s="13">
        <f t="shared" ref="K421" si="1399">(F421-F369)/F369</f>
        <v>4.1602465331278891E-2</v>
      </c>
      <c r="L421" s="3">
        <f t="shared" ref="L421" si="1400">AVERAGE(F265,F317,F369)</f>
        <v>593.33333333333337</v>
      </c>
    </row>
    <row r="422" spans="1:12" ht="14.25" x14ac:dyDescent="0.2">
      <c r="A422" s="21">
        <f t="shared" si="1081"/>
        <v>41545</v>
      </c>
      <c r="B422" s="3">
        <f>13+8+1</f>
        <v>22</v>
      </c>
      <c r="C422" s="3">
        <f>11+23+15</f>
        <v>49</v>
      </c>
      <c r="D422" s="3">
        <f>19+79+3</f>
        <v>101</v>
      </c>
      <c r="E422" s="30">
        <f t="shared" si="1316"/>
        <v>172</v>
      </c>
      <c r="F422" s="30">
        <v>680</v>
      </c>
      <c r="G422" s="3">
        <f t="shared" ref="G422:G424" si="1401">F422-E422</f>
        <v>508</v>
      </c>
      <c r="H422" s="49">
        <f t="shared" ref="H422" si="1402">(F422-F421)/F421</f>
        <v>5.9171597633136093E-3</v>
      </c>
      <c r="I422" s="57">
        <f t="shared" ref="I422" si="1403">(E422-E421)/E421</f>
        <v>-8.9947089947089942E-2</v>
      </c>
      <c r="J422" s="30">
        <f t="shared" ref="J422" si="1404">E422-E421</f>
        <v>-17</v>
      </c>
      <c r="K422" s="13">
        <f t="shared" ref="K422" si="1405">(F422-F370)/F370</f>
        <v>-8.7463556851311956E-3</v>
      </c>
      <c r="L422" s="3">
        <f t="shared" ref="L422" si="1406">AVERAGE(F266,F318,F370)</f>
        <v>609.33333333333337</v>
      </c>
    </row>
    <row r="423" spans="1:12" ht="14.25" x14ac:dyDescent="0.2">
      <c r="A423" s="21">
        <f t="shared" si="1081"/>
        <v>41552</v>
      </c>
      <c r="B423" s="3">
        <f>8+29+5</f>
        <v>42</v>
      </c>
      <c r="C423" s="3">
        <f>12+10+1+21</f>
        <v>44</v>
      </c>
      <c r="D423" s="3">
        <f>21+104+18</f>
        <v>143</v>
      </c>
      <c r="E423" s="30">
        <f t="shared" si="1316"/>
        <v>229</v>
      </c>
      <c r="F423" s="30">
        <v>744</v>
      </c>
      <c r="G423" s="3">
        <f t="shared" si="1401"/>
        <v>515</v>
      </c>
      <c r="H423" s="49">
        <f t="shared" ref="H423:H424" si="1407">(F423-F422)/F422</f>
        <v>9.4117647058823528E-2</v>
      </c>
      <c r="I423" s="57">
        <f t="shared" ref="I423:I424" si="1408">(E423-E422)/E422</f>
        <v>0.33139534883720928</v>
      </c>
      <c r="J423" s="30">
        <f t="shared" ref="J423:J424" si="1409">E423-E422</f>
        <v>57</v>
      </c>
      <c r="K423" s="13">
        <f t="shared" ref="K423:K424" si="1410">(F423-F371)/F371</f>
        <v>0.24414715719063546</v>
      </c>
      <c r="L423" s="3">
        <f t="shared" ref="L423:L424" si="1411">AVERAGE(F267,F319,F371)</f>
        <v>578</v>
      </c>
    </row>
    <row r="424" spans="1:12" ht="14.25" x14ac:dyDescent="0.2">
      <c r="A424" s="21">
        <f t="shared" si="1081"/>
        <v>41559</v>
      </c>
      <c r="B424" s="3">
        <f>3+50+89</f>
        <v>142</v>
      </c>
      <c r="C424" s="3">
        <f>6+13+2+11</f>
        <v>32</v>
      </c>
      <c r="D424" s="3">
        <f>11+69+6+19</f>
        <v>105</v>
      </c>
      <c r="E424" s="30">
        <f t="shared" si="1316"/>
        <v>279</v>
      </c>
      <c r="F424" s="30">
        <v>827</v>
      </c>
      <c r="G424" s="3">
        <f t="shared" si="1401"/>
        <v>548</v>
      </c>
      <c r="H424" s="49">
        <f t="shared" si="1407"/>
        <v>0.11155913978494623</v>
      </c>
      <c r="I424" s="57">
        <f t="shared" si="1408"/>
        <v>0.2183406113537118</v>
      </c>
      <c r="J424" s="30">
        <f t="shared" si="1409"/>
        <v>50</v>
      </c>
      <c r="K424" s="13">
        <f t="shared" si="1410"/>
        <v>0.15826330532212884</v>
      </c>
      <c r="L424" s="3">
        <f t="shared" si="1411"/>
        <v>647.33333333333337</v>
      </c>
    </row>
    <row r="425" spans="1:12" ht="14.25" x14ac:dyDescent="0.2">
      <c r="A425" s="21">
        <f t="shared" ref="A425:A454" si="1412">7+A424</f>
        <v>41566</v>
      </c>
      <c r="B425" s="3">
        <f>2+81+133</f>
        <v>216</v>
      </c>
      <c r="C425" s="3">
        <f>16+5+4+39</f>
        <v>64</v>
      </c>
      <c r="D425" s="3">
        <f>4+101+8+115</f>
        <v>228</v>
      </c>
      <c r="E425" s="30">
        <f t="shared" si="1316"/>
        <v>508</v>
      </c>
      <c r="F425" s="30">
        <v>780</v>
      </c>
      <c r="G425" s="3">
        <f t="shared" ref="G425" si="1413">F425-E425</f>
        <v>272</v>
      </c>
      <c r="H425" s="49">
        <f t="shared" ref="H425" si="1414">(F425-F424)/F424</f>
        <v>-5.6831922611850064E-2</v>
      </c>
      <c r="I425" s="57">
        <f t="shared" ref="I425" si="1415">(E425-E424)/E424</f>
        <v>0.82078853046594979</v>
      </c>
      <c r="J425" s="30">
        <f t="shared" ref="J425" si="1416">E425-E424</f>
        <v>229</v>
      </c>
      <c r="K425" s="13">
        <f t="shared" ref="K425" si="1417">(F425-F373)/F373</f>
        <v>-4.1769041769041768E-2</v>
      </c>
      <c r="L425" s="3">
        <f t="shared" ref="L425" si="1418">AVERAGE(F269,F321,F373)</f>
        <v>696</v>
      </c>
    </row>
    <row r="426" spans="1:12" ht="14.25" x14ac:dyDescent="0.2">
      <c r="A426" s="21">
        <f t="shared" si="1412"/>
        <v>41573</v>
      </c>
      <c r="B426" s="3">
        <f>5+100+239</f>
        <v>344</v>
      </c>
      <c r="C426" s="3">
        <f>5+3+3+33</f>
        <v>44</v>
      </c>
      <c r="D426" s="3">
        <f>1+52+1+91</f>
        <v>145</v>
      </c>
      <c r="E426" s="30">
        <f t="shared" si="1316"/>
        <v>533</v>
      </c>
      <c r="F426" s="30">
        <v>813</v>
      </c>
      <c r="G426" s="3">
        <f t="shared" ref="G426" si="1419">F426-E426</f>
        <v>280</v>
      </c>
      <c r="H426" s="49">
        <f t="shared" ref="H426" si="1420">(F426-F425)/F425</f>
        <v>4.230769230769231E-2</v>
      </c>
      <c r="I426" s="57">
        <f t="shared" ref="I426" si="1421">(E426-E425)/E425</f>
        <v>4.9212598425196853E-2</v>
      </c>
      <c r="J426" s="30">
        <f t="shared" ref="J426" si="1422">E426-E425</f>
        <v>25</v>
      </c>
      <c r="K426" s="13">
        <f t="shared" ref="K426" si="1423">(F426-F374)/F374</f>
        <v>-3.5587188612099648E-2</v>
      </c>
      <c r="L426" s="3">
        <f t="shared" ref="L426" si="1424">AVERAGE(F270,F322,F374)</f>
        <v>748.33333333333337</v>
      </c>
    </row>
    <row r="427" spans="1:12" ht="14.25" x14ac:dyDescent="0.2">
      <c r="A427" s="21">
        <f t="shared" si="1412"/>
        <v>41580</v>
      </c>
      <c r="B427" s="3">
        <f>4+86+264</f>
        <v>354</v>
      </c>
      <c r="C427" s="3">
        <f>12+2+47</f>
        <v>61</v>
      </c>
      <c r="D427" s="3">
        <f>55+1+78</f>
        <v>134</v>
      </c>
      <c r="E427" s="30">
        <f t="shared" si="1316"/>
        <v>549</v>
      </c>
      <c r="F427" s="30">
        <v>921</v>
      </c>
      <c r="G427" s="3">
        <f t="shared" ref="G427" si="1425">F427-E427</f>
        <v>372</v>
      </c>
      <c r="H427" s="49">
        <f t="shared" ref="H427" si="1426">(F427-F426)/F426</f>
        <v>0.13284132841328414</v>
      </c>
      <c r="I427" s="57">
        <f t="shared" ref="I427" si="1427">(E427-E426)/E426</f>
        <v>3.0018761726078799E-2</v>
      </c>
      <c r="J427" s="30">
        <f t="shared" ref="J427" si="1428">E427-E426</f>
        <v>16</v>
      </c>
      <c r="K427" s="13">
        <f t="shared" ref="K427" si="1429">(F427-F375)/F375</f>
        <v>8.6084905660377353E-2</v>
      </c>
      <c r="L427" s="3">
        <f t="shared" ref="L427" si="1430">AVERAGE(F271,F323,F375)</f>
        <v>739</v>
      </c>
    </row>
    <row r="428" spans="1:12" ht="14.25" x14ac:dyDescent="0.2">
      <c r="A428" s="21">
        <f t="shared" si="1412"/>
        <v>41587</v>
      </c>
      <c r="B428" s="3">
        <f>4+120+2+161</f>
        <v>287</v>
      </c>
      <c r="C428" s="3">
        <f>4+17</f>
        <v>21</v>
      </c>
      <c r="D428" s="3">
        <f>1+75+5+114</f>
        <v>195</v>
      </c>
      <c r="E428" s="30">
        <f t="shared" si="1316"/>
        <v>503</v>
      </c>
      <c r="F428" s="30">
        <v>934</v>
      </c>
      <c r="G428" s="3">
        <f t="shared" ref="G428" si="1431">F428-E428</f>
        <v>431</v>
      </c>
      <c r="H428" s="49">
        <f t="shared" ref="H428" si="1432">(F428-F427)/F427</f>
        <v>1.4115092290988056E-2</v>
      </c>
      <c r="I428" s="57">
        <f t="shared" ref="I428" si="1433">(E428-E427)/E427</f>
        <v>-8.3788706739526417E-2</v>
      </c>
      <c r="J428" s="30">
        <f t="shared" ref="J428" si="1434">E428-E427</f>
        <v>-46</v>
      </c>
      <c r="K428" s="13">
        <f t="shared" ref="K428" si="1435">(F428-F376)/F376</f>
        <v>0.12394705174488568</v>
      </c>
      <c r="L428" s="3">
        <f t="shared" ref="L428" si="1436">AVERAGE(F272,F324,F376)</f>
        <v>783.33333333333337</v>
      </c>
    </row>
    <row r="429" spans="1:12" ht="14.25" x14ac:dyDescent="0.2">
      <c r="A429" s="21">
        <f t="shared" si="1412"/>
        <v>41594</v>
      </c>
      <c r="B429" s="3">
        <f>5+127+0+135</f>
        <v>267</v>
      </c>
      <c r="C429" s="3">
        <f>11+1+1+46</f>
        <v>59</v>
      </c>
      <c r="D429" s="3">
        <f>0+96+0+8+119</f>
        <v>223</v>
      </c>
      <c r="E429" s="30">
        <f t="shared" si="1316"/>
        <v>549</v>
      </c>
      <c r="F429" s="30">
        <v>947</v>
      </c>
      <c r="G429" s="3">
        <f t="shared" ref="G429" si="1437">F429-E429</f>
        <v>398</v>
      </c>
      <c r="H429" s="49">
        <f t="shared" ref="H429" si="1438">(F429-F428)/F428</f>
        <v>1.3918629550321198E-2</v>
      </c>
      <c r="I429" s="57">
        <f t="shared" ref="I429" si="1439">(E429-E428)/E428</f>
        <v>9.1451292246520877E-2</v>
      </c>
      <c r="J429" s="30">
        <f t="shared" ref="J429" si="1440">E429-E428</f>
        <v>46</v>
      </c>
      <c r="K429" s="13">
        <f t="shared" ref="K429" si="1441">(F429-F377)/F377</f>
        <v>4.6408839779005527E-2</v>
      </c>
      <c r="L429" s="3">
        <f t="shared" ref="L429" si="1442">AVERAGE(F273,F325,F377)</f>
        <v>839.66666666666663</v>
      </c>
    </row>
    <row r="430" spans="1:12" ht="14.25" x14ac:dyDescent="0.2">
      <c r="A430" s="21">
        <f t="shared" si="1412"/>
        <v>41601</v>
      </c>
      <c r="B430" s="3">
        <f>3+181+117</f>
        <v>301</v>
      </c>
      <c r="C430" s="3">
        <f>7+3+33</f>
        <v>43</v>
      </c>
      <c r="D430" s="3">
        <f>0+105+0+3+151</f>
        <v>259</v>
      </c>
      <c r="E430" s="30">
        <f t="shared" si="1316"/>
        <v>603</v>
      </c>
      <c r="F430" s="30">
        <v>907</v>
      </c>
      <c r="G430" s="3">
        <f t="shared" ref="G430" si="1443">F430-E430</f>
        <v>304</v>
      </c>
      <c r="H430" s="49">
        <f t="shared" ref="H430" si="1444">(F430-F429)/F429</f>
        <v>-4.2238648363252376E-2</v>
      </c>
      <c r="I430" s="57">
        <f t="shared" ref="I430" si="1445">(E430-E429)/E429</f>
        <v>9.8360655737704916E-2</v>
      </c>
      <c r="J430" s="30">
        <f t="shared" ref="J430" si="1446">E430-E429</f>
        <v>54</v>
      </c>
      <c r="K430" s="13">
        <f t="shared" ref="K430" si="1447">(F430-F378)/F378</f>
        <v>0.38473282442748091</v>
      </c>
      <c r="L430" s="3">
        <f t="shared" ref="L430" si="1448">AVERAGE(F274,F326,F378)</f>
        <v>661.33333333333337</v>
      </c>
    </row>
    <row r="431" spans="1:12" ht="14.25" x14ac:dyDescent="0.2">
      <c r="A431" s="21">
        <f t="shared" si="1412"/>
        <v>41608</v>
      </c>
      <c r="B431" s="3">
        <f>5+174+156</f>
        <v>335</v>
      </c>
      <c r="C431" s="3">
        <f>6+5+1+38</f>
        <v>50</v>
      </c>
      <c r="D431" s="3">
        <f>2+78+2+96</f>
        <v>178</v>
      </c>
      <c r="E431" s="30">
        <f t="shared" si="1316"/>
        <v>563</v>
      </c>
      <c r="F431" s="30">
        <v>839</v>
      </c>
      <c r="G431" s="3">
        <f t="shared" ref="G431" si="1449">F431-E431</f>
        <v>276</v>
      </c>
      <c r="H431" s="49">
        <f t="shared" ref="H431" si="1450">(F431-F430)/F430</f>
        <v>-7.4972436604189632E-2</v>
      </c>
      <c r="I431" s="57">
        <f t="shared" ref="I431" si="1451">(E431-E430)/E430</f>
        <v>-6.633499170812604E-2</v>
      </c>
      <c r="J431" s="30">
        <f t="shared" ref="J431" si="1452">E431-E430</f>
        <v>-40</v>
      </c>
      <c r="K431" s="13">
        <f t="shared" ref="K431" si="1453">(F431-F379)/F379</f>
        <v>0.32125984251968503</v>
      </c>
      <c r="L431" s="3">
        <f t="shared" ref="L431" si="1454">AVERAGE(F275,F327,F379)</f>
        <v>715.66666666666663</v>
      </c>
    </row>
    <row r="432" spans="1:12" ht="14.25" x14ac:dyDescent="0.2">
      <c r="A432" s="21">
        <f t="shared" si="1412"/>
        <v>41615</v>
      </c>
      <c r="B432" s="3">
        <v>348</v>
      </c>
      <c r="C432" s="3">
        <v>27</v>
      </c>
      <c r="D432" s="3">
        <v>113</v>
      </c>
      <c r="E432" s="30">
        <f t="shared" si="1316"/>
        <v>488</v>
      </c>
      <c r="F432" s="30">
        <v>916</v>
      </c>
      <c r="G432" s="3">
        <f t="shared" ref="G432" si="1455">F432-E432</f>
        <v>428</v>
      </c>
      <c r="H432" s="49">
        <f t="shared" ref="H432" si="1456">(F432-F431)/F431</f>
        <v>9.1775923718712751E-2</v>
      </c>
      <c r="I432" s="57">
        <f t="shared" ref="I432" si="1457">(E432-E431)/E431</f>
        <v>-0.13321492007104796</v>
      </c>
      <c r="J432" s="30">
        <f t="shared" ref="J432" si="1458">E432-E431</f>
        <v>-75</v>
      </c>
      <c r="K432" s="13">
        <f t="shared" ref="K432" si="1459">(F432-F380)/F380</f>
        <v>0.44936708860759494</v>
      </c>
      <c r="L432" s="3">
        <f t="shared" ref="L432" si="1460">AVERAGE(F276,F328,F380)</f>
        <v>716.66666666666663</v>
      </c>
    </row>
    <row r="433" spans="1:12" ht="14.25" x14ac:dyDescent="0.2">
      <c r="A433" s="21">
        <f t="shared" si="1412"/>
        <v>41622</v>
      </c>
      <c r="B433" s="3">
        <v>331</v>
      </c>
      <c r="C433" s="3">
        <v>39</v>
      </c>
      <c r="D433" s="3">
        <v>163</v>
      </c>
      <c r="E433" s="30">
        <f t="shared" si="1316"/>
        <v>533</v>
      </c>
      <c r="F433" s="30">
        <v>798</v>
      </c>
      <c r="G433" s="3">
        <f t="shared" ref="G433" si="1461">F433-E433</f>
        <v>265</v>
      </c>
      <c r="H433" s="49">
        <f t="shared" ref="H433" si="1462">(F433-F432)/F432</f>
        <v>-0.12882096069868995</v>
      </c>
      <c r="I433" s="57">
        <f t="shared" ref="I433" si="1463">(E433-E432)/E432</f>
        <v>9.2213114754098366E-2</v>
      </c>
      <c r="J433" s="30">
        <f t="shared" ref="J433" si="1464">E433-E432</f>
        <v>45</v>
      </c>
      <c r="K433" s="13">
        <f t="shared" ref="K433" si="1465">(F433-F381)/F381</f>
        <v>0.25867507886435331</v>
      </c>
      <c r="L433" s="3">
        <f t="shared" ref="L433" si="1466">AVERAGE(F277,F329,F381)</f>
        <v>674.33333333333337</v>
      </c>
    </row>
    <row r="434" spans="1:12" ht="14.25" x14ac:dyDescent="0.2">
      <c r="A434" s="21">
        <f t="shared" si="1412"/>
        <v>41629</v>
      </c>
      <c r="B434" s="3">
        <f>4+123+2+140</f>
        <v>269</v>
      </c>
      <c r="C434" s="3">
        <f>6+34</f>
        <v>40</v>
      </c>
      <c r="D434" s="3">
        <f>7+80+3+58</f>
        <v>148</v>
      </c>
      <c r="E434" s="30">
        <f t="shared" si="1316"/>
        <v>457</v>
      </c>
      <c r="F434" s="30">
        <v>871</v>
      </c>
      <c r="G434" s="3">
        <f t="shared" ref="G434" si="1467">F434-E434</f>
        <v>414</v>
      </c>
      <c r="H434" s="49">
        <f t="shared" ref="H434" si="1468">(F434-F433)/F433</f>
        <v>9.1478696741854632E-2</v>
      </c>
      <c r="I434" s="57">
        <f t="shared" ref="I434" si="1469">(E434-E433)/E433</f>
        <v>-0.14258911819887429</v>
      </c>
      <c r="J434" s="30">
        <f t="shared" ref="J434" si="1470">E434-E433</f>
        <v>-76</v>
      </c>
      <c r="K434" s="13">
        <f t="shared" ref="K434" si="1471">(F434-F382)/F382</f>
        <v>0.25143678160919541</v>
      </c>
      <c r="L434" s="3">
        <f t="shared" ref="L434" si="1472">AVERAGE(F278,F330,F382)</f>
        <v>650</v>
      </c>
    </row>
    <row r="435" spans="1:12" ht="14.25" x14ac:dyDescent="0.2">
      <c r="A435" s="21">
        <f t="shared" si="1412"/>
        <v>41636</v>
      </c>
      <c r="B435" s="3">
        <f>3+56+7+136</f>
        <v>202</v>
      </c>
      <c r="C435" s="3">
        <f>9+0+31</f>
        <v>40</v>
      </c>
      <c r="D435" s="3">
        <f>2+78+0+5+90</f>
        <v>175</v>
      </c>
      <c r="E435" s="30">
        <f t="shared" si="1316"/>
        <v>417</v>
      </c>
      <c r="F435" s="30">
        <v>671</v>
      </c>
      <c r="G435" s="3">
        <f t="shared" ref="G435" si="1473">F435-E435</f>
        <v>254</v>
      </c>
      <c r="H435" s="49">
        <f t="shared" ref="H435" si="1474">(F435-F434)/F434</f>
        <v>-0.22962112514351321</v>
      </c>
      <c r="I435" s="57">
        <f t="shared" ref="I435" si="1475">(E435-E434)/E434</f>
        <v>-8.7527352297592995E-2</v>
      </c>
      <c r="J435" s="30">
        <f t="shared" ref="J435" si="1476">E435-E434</f>
        <v>-40</v>
      </c>
      <c r="K435" s="13">
        <f t="shared" ref="K435" si="1477">(F435-F383)/F383</f>
        <v>0.11833333333333333</v>
      </c>
      <c r="L435" s="3">
        <f t="shared" ref="L435" si="1478">AVERAGE(F279,F331,F383)</f>
        <v>527.33333333333337</v>
      </c>
    </row>
    <row r="436" spans="1:12" ht="14.25" x14ac:dyDescent="0.2">
      <c r="A436" s="21">
        <f t="shared" si="1412"/>
        <v>41643</v>
      </c>
      <c r="B436" s="3">
        <f>2+46+134</f>
        <v>182</v>
      </c>
      <c r="C436" s="3">
        <f>6+1+24</f>
        <v>31</v>
      </c>
      <c r="D436" s="3">
        <f>5+67+2+71</f>
        <v>145</v>
      </c>
      <c r="E436" s="30">
        <f t="shared" si="1316"/>
        <v>358</v>
      </c>
      <c r="F436" s="30">
        <v>814</v>
      </c>
      <c r="G436" s="3">
        <f t="shared" ref="G436" si="1479">F436-E436</f>
        <v>456</v>
      </c>
      <c r="H436" s="49">
        <f t="shared" ref="H436" si="1480">(F436-F435)/F435</f>
        <v>0.21311475409836064</v>
      </c>
      <c r="I436" s="57">
        <f t="shared" ref="I436" si="1481">(E436-E435)/E435</f>
        <v>-0.14148681055155876</v>
      </c>
      <c r="J436" s="30">
        <f t="shared" ref="J436" si="1482">E436-E435</f>
        <v>-59</v>
      </c>
      <c r="K436" s="13">
        <f t="shared" ref="K436" si="1483">(F436-F384)/F384</f>
        <v>0.90632318501170961</v>
      </c>
      <c r="L436" s="3">
        <f t="shared" ref="L436" si="1484">AVERAGE(F280,F332,F384)</f>
        <v>587.33333333333337</v>
      </c>
    </row>
    <row r="437" spans="1:12" ht="14.25" x14ac:dyDescent="0.2">
      <c r="A437" s="21">
        <f t="shared" si="1412"/>
        <v>41650</v>
      </c>
      <c r="B437" s="3">
        <f>3+25+3+48</f>
        <v>79</v>
      </c>
      <c r="C437" s="3">
        <f>3+16</f>
        <v>19</v>
      </c>
      <c r="D437" s="3">
        <f>15+66+2+93</f>
        <v>176</v>
      </c>
      <c r="E437" s="30">
        <f t="shared" si="1316"/>
        <v>274</v>
      </c>
      <c r="F437" s="30">
        <v>749</v>
      </c>
      <c r="G437" s="3">
        <f t="shared" ref="G437" si="1485">F437-E437</f>
        <v>475</v>
      </c>
      <c r="H437" s="49">
        <f t="shared" ref="H437" si="1486">(F437-F436)/F436</f>
        <v>-7.9852579852579847E-2</v>
      </c>
      <c r="I437" s="57">
        <f t="shared" ref="I437" si="1487">(E437-E436)/E436</f>
        <v>-0.23463687150837989</v>
      </c>
      <c r="J437" s="30">
        <f t="shared" ref="J437" si="1488">E437-E436</f>
        <v>-84</v>
      </c>
      <c r="K437" s="13">
        <f t="shared" ref="K437" si="1489">(F437-F385)/F385</f>
        <v>0.47151277013752457</v>
      </c>
      <c r="L437" s="3">
        <f t="shared" ref="L437" si="1490">AVERAGE(F281,F333,F385)</f>
        <v>640</v>
      </c>
    </row>
    <row r="438" spans="1:12" ht="14.25" x14ac:dyDescent="0.2">
      <c r="A438" s="21">
        <f t="shared" si="1412"/>
        <v>41657</v>
      </c>
      <c r="B438" s="3">
        <f>19+62</f>
        <v>81</v>
      </c>
      <c r="C438" s="3">
        <f>10+1+34</f>
        <v>45</v>
      </c>
      <c r="D438" s="3">
        <f>2+83+7+85</f>
        <v>177</v>
      </c>
      <c r="E438" s="30">
        <f t="shared" si="1316"/>
        <v>303</v>
      </c>
      <c r="F438" s="30">
        <v>888</v>
      </c>
      <c r="G438" s="3">
        <f t="shared" ref="G438" si="1491">F438-E438</f>
        <v>585</v>
      </c>
      <c r="H438" s="49">
        <f t="shared" ref="H438" si="1492">(F438-F437)/F437</f>
        <v>0.1855807743658211</v>
      </c>
      <c r="I438" s="57">
        <f t="shared" ref="I438" si="1493">(E438-E437)/E437</f>
        <v>0.10583941605839416</v>
      </c>
      <c r="J438" s="30">
        <f t="shared" ref="J438" si="1494">E438-E437</f>
        <v>29</v>
      </c>
      <c r="K438" s="13">
        <f t="shared" ref="K438" si="1495">(F438-F386)/F386</f>
        <v>0.55244755244755239</v>
      </c>
      <c r="L438" s="3">
        <f t="shared" ref="L438" si="1496">AVERAGE(F282,F334,F386)</f>
        <v>651.33333333333337</v>
      </c>
    </row>
    <row r="439" spans="1:12" ht="14.25" x14ac:dyDescent="0.2">
      <c r="A439" s="21">
        <f t="shared" si="1412"/>
        <v>41664</v>
      </c>
      <c r="B439" s="3">
        <f>4+33+145</f>
        <v>182</v>
      </c>
      <c r="C439" s="3">
        <f>5+32</f>
        <v>37</v>
      </c>
      <c r="D439" s="3">
        <f>105+156</f>
        <v>261</v>
      </c>
      <c r="E439" s="30">
        <f t="shared" si="1316"/>
        <v>480</v>
      </c>
      <c r="F439" s="30">
        <v>771</v>
      </c>
      <c r="G439" s="3">
        <f t="shared" ref="G439" si="1497">F439-E439</f>
        <v>291</v>
      </c>
      <c r="H439" s="49">
        <f t="shared" ref="H439" si="1498">(F439-F438)/F438</f>
        <v>-0.13175675675675674</v>
      </c>
      <c r="I439" s="57">
        <f t="shared" ref="I439" si="1499">(E439-E438)/E438</f>
        <v>0.58415841584158412</v>
      </c>
      <c r="J439" s="30">
        <f t="shared" ref="J439" si="1500">E439-E438</f>
        <v>177</v>
      </c>
      <c r="K439" s="13">
        <f t="shared" ref="K439" si="1501">(F439-F387)/F387</f>
        <v>0.19906687402799378</v>
      </c>
      <c r="L439" s="3">
        <f t="shared" ref="L439" si="1502">AVERAGE(F283,F335,F387)</f>
        <v>712.33333333333337</v>
      </c>
    </row>
    <row r="440" spans="1:12" ht="14.25" x14ac:dyDescent="0.2">
      <c r="A440" s="21">
        <f t="shared" si="1412"/>
        <v>41671</v>
      </c>
      <c r="B440" s="3">
        <f>1+45+117</f>
        <v>163</v>
      </c>
      <c r="C440" s="3">
        <f>3+19</f>
        <v>22</v>
      </c>
      <c r="D440" s="3">
        <f>1+93+2+97</f>
        <v>193</v>
      </c>
      <c r="E440" s="30">
        <f t="shared" si="1316"/>
        <v>378</v>
      </c>
      <c r="F440" s="30">
        <v>682</v>
      </c>
      <c r="G440" s="3">
        <f t="shared" ref="G440" si="1503">F440-E440</f>
        <v>304</v>
      </c>
      <c r="H440" s="49">
        <f t="shared" ref="H440" si="1504">(F440-F439)/F439</f>
        <v>-0.11543450064850844</v>
      </c>
      <c r="I440" s="57">
        <f t="shared" ref="I440" si="1505">(E440-E439)/E439</f>
        <v>-0.21249999999999999</v>
      </c>
      <c r="J440" s="30">
        <f t="shared" ref="J440" si="1506">E440-E439</f>
        <v>-102</v>
      </c>
      <c r="K440" s="13">
        <f t="shared" ref="K440" si="1507">(F440-F388)/F388</f>
        <v>0.32943469785575047</v>
      </c>
      <c r="L440" s="3">
        <f t="shared" ref="L440" si="1508">AVERAGE(F284,F336,F388)</f>
        <v>602.33333333333337</v>
      </c>
    </row>
    <row r="441" spans="1:12" ht="14.25" x14ac:dyDescent="0.2">
      <c r="A441" s="21">
        <f t="shared" si="1412"/>
        <v>41678</v>
      </c>
      <c r="B441" s="3">
        <f>12+48</f>
        <v>60</v>
      </c>
      <c r="C441" s="3">
        <f>8+4+1+45</f>
        <v>58</v>
      </c>
      <c r="D441" s="3">
        <f>1+135+154</f>
        <v>290</v>
      </c>
      <c r="E441" s="30">
        <f t="shared" si="1316"/>
        <v>408</v>
      </c>
      <c r="F441" s="30">
        <v>774</v>
      </c>
      <c r="G441" s="3">
        <f t="shared" ref="G441" si="1509">F441-E441</f>
        <v>366</v>
      </c>
      <c r="H441" s="49">
        <f t="shared" ref="H441" si="1510">(F441-F440)/F440</f>
        <v>0.13489736070381231</v>
      </c>
      <c r="I441" s="57">
        <f t="shared" ref="I441" si="1511">(E441-E440)/E440</f>
        <v>7.9365079365079361E-2</v>
      </c>
      <c r="J441" s="30">
        <f t="shared" ref="J441" si="1512">E441-E440</f>
        <v>30</v>
      </c>
      <c r="K441" s="13">
        <f t="shared" ref="K441" si="1513">(F441-F389)/F389</f>
        <v>0.4576271186440678</v>
      </c>
      <c r="L441" s="3">
        <f t="shared" ref="L441" si="1514">AVERAGE(F285,F337,F389)</f>
        <v>646</v>
      </c>
    </row>
    <row r="442" spans="1:12" ht="14.25" x14ac:dyDescent="0.2">
      <c r="A442" s="21">
        <f t="shared" si="1412"/>
        <v>41685</v>
      </c>
      <c r="B442" s="3">
        <f>26+57</f>
        <v>83</v>
      </c>
      <c r="C442" s="3">
        <f>8+1+33</f>
        <v>42</v>
      </c>
      <c r="D442" s="3">
        <f>58+0+155+4</f>
        <v>217</v>
      </c>
      <c r="E442" s="30">
        <f t="shared" si="1316"/>
        <v>342</v>
      </c>
      <c r="F442" s="30">
        <v>739</v>
      </c>
      <c r="G442" s="3">
        <f t="shared" ref="G442" si="1515">F442-E442</f>
        <v>397</v>
      </c>
      <c r="H442" s="49">
        <f t="shared" ref="H442" si="1516">(F442-F441)/F441</f>
        <v>-4.5219638242894059E-2</v>
      </c>
      <c r="I442" s="57">
        <f t="shared" ref="I442" si="1517">(E442-E441)/E441</f>
        <v>-0.16176470588235295</v>
      </c>
      <c r="J442" s="30">
        <f t="shared" ref="J442" si="1518">E442-E441</f>
        <v>-66</v>
      </c>
      <c r="K442" s="13">
        <f t="shared" ref="K442" si="1519">(F442-F390)/F390</f>
        <v>0.48393574297188757</v>
      </c>
      <c r="L442" s="3">
        <f t="shared" ref="L442" si="1520">AVERAGE(F286,F338,F390)</f>
        <v>608</v>
      </c>
    </row>
    <row r="443" spans="1:12" ht="14.25" x14ac:dyDescent="0.2">
      <c r="A443" s="21">
        <f t="shared" si="1412"/>
        <v>41692</v>
      </c>
      <c r="B443" s="3">
        <f>41+36</f>
        <v>77</v>
      </c>
      <c r="C443" s="3">
        <f>9+2+1+20</f>
        <v>32</v>
      </c>
      <c r="D443" s="3">
        <f>3+133+37</f>
        <v>173</v>
      </c>
      <c r="E443" s="30">
        <f t="shared" si="1316"/>
        <v>282</v>
      </c>
      <c r="F443" s="30">
        <v>819</v>
      </c>
      <c r="G443" s="3">
        <f t="shared" ref="G443" si="1521">F443-E443</f>
        <v>537</v>
      </c>
      <c r="H443" s="49">
        <f t="shared" ref="H443" si="1522">(F443-F442)/F442</f>
        <v>0.10825439783491204</v>
      </c>
      <c r="I443" s="57">
        <f t="shared" ref="I443" si="1523">(E443-E442)/E442</f>
        <v>-0.17543859649122806</v>
      </c>
      <c r="J443" s="30">
        <f t="shared" ref="J443" si="1524">E443-E442</f>
        <v>-60</v>
      </c>
      <c r="K443" s="13">
        <f t="shared" ref="K443" si="1525">(F443-F391)/F391</f>
        <v>0.39049235993208831</v>
      </c>
      <c r="L443" s="3">
        <f t="shared" ref="L443" si="1526">AVERAGE(F287,F339,F391)</f>
        <v>602</v>
      </c>
    </row>
    <row r="444" spans="1:12" ht="14.25" x14ac:dyDescent="0.2">
      <c r="A444" s="21">
        <f t="shared" si="1412"/>
        <v>41699</v>
      </c>
      <c r="B444" s="3">
        <f>1+63+63</f>
        <v>127</v>
      </c>
      <c r="C444" s="3">
        <f>17+2+1+1+23</f>
        <v>44</v>
      </c>
      <c r="D444" s="3">
        <f>7+133+1+77</f>
        <v>218</v>
      </c>
      <c r="E444" s="30">
        <f t="shared" si="1316"/>
        <v>389</v>
      </c>
      <c r="F444" s="30">
        <v>703</v>
      </c>
      <c r="G444" s="3">
        <f t="shared" ref="G444" si="1527">F444-E444</f>
        <v>314</v>
      </c>
      <c r="H444" s="49">
        <f t="shared" ref="H444" si="1528">(F444-F443)/F443</f>
        <v>-0.14163614163614163</v>
      </c>
      <c r="I444" s="57">
        <f t="shared" ref="I444" si="1529">(E444-E443)/E443</f>
        <v>0.37943262411347517</v>
      </c>
      <c r="J444" s="30">
        <f t="shared" ref="J444" si="1530">E444-E443</f>
        <v>107</v>
      </c>
      <c r="K444" s="13">
        <f t="shared" ref="K444" si="1531">(F444-F392)/F392</f>
        <v>0.39761431411530818</v>
      </c>
      <c r="L444" s="3">
        <f t="shared" ref="L444" si="1532">AVERAGE(F288,F340,F392)</f>
        <v>603.33333333333337</v>
      </c>
    </row>
    <row r="445" spans="1:12" ht="14.25" x14ac:dyDescent="0.2">
      <c r="A445" s="21">
        <f t="shared" si="1412"/>
        <v>41706</v>
      </c>
      <c r="B445" s="3">
        <f>77+56</f>
        <v>133</v>
      </c>
      <c r="C445" s="3">
        <f>15+5+17</f>
        <v>37</v>
      </c>
      <c r="D445" s="3">
        <f>4+133+32</f>
        <v>169</v>
      </c>
      <c r="E445" s="30">
        <f t="shared" si="1316"/>
        <v>339</v>
      </c>
      <c r="F445" s="30">
        <v>691</v>
      </c>
      <c r="G445" s="3">
        <f t="shared" ref="G445" si="1533">F445-E445</f>
        <v>352</v>
      </c>
      <c r="H445" s="49">
        <f t="shared" ref="H445" si="1534">(F445-F444)/F444</f>
        <v>-1.7069701280227598E-2</v>
      </c>
      <c r="I445" s="57">
        <f t="shared" ref="I445" si="1535">(E445-E444)/E444</f>
        <v>-0.12853470437017994</v>
      </c>
      <c r="J445" s="30">
        <f t="shared" ref="J445" si="1536">E445-E444</f>
        <v>-50</v>
      </c>
      <c r="K445" s="13">
        <f t="shared" ref="K445" si="1537">(F445-F393)/F393</f>
        <v>0.81842105263157894</v>
      </c>
      <c r="L445" s="3">
        <f t="shared" ref="L445" si="1538">AVERAGE(F289,F341,F393)</f>
        <v>478.66666666666669</v>
      </c>
    </row>
    <row r="446" spans="1:12" ht="14.25" x14ac:dyDescent="0.2">
      <c r="A446" s="21">
        <f t="shared" si="1412"/>
        <v>41713</v>
      </c>
      <c r="B446" s="3">
        <f>167+45</f>
        <v>212</v>
      </c>
      <c r="C446" s="3">
        <f>26+2+1+11</f>
        <v>40</v>
      </c>
      <c r="D446" s="3">
        <f>6+167+54</f>
        <v>227</v>
      </c>
      <c r="E446" s="30">
        <f>SUM(B446:D446)</f>
        <v>479</v>
      </c>
      <c r="F446" s="30">
        <v>726</v>
      </c>
      <c r="G446" s="3">
        <f t="shared" ref="G446" si="1539">F446-E446</f>
        <v>247</v>
      </c>
      <c r="H446" s="49">
        <f t="shared" ref="H446" si="1540">(F446-F445)/F445</f>
        <v>5.0651230101302458E-2</v>
      </c>
      <c r="I446" s="57">
        <f t="shared" ref="I446" si="1541">(E446-E445)/E445</f>
        <v>0.41297935103244837</v>
      </c>
      <c r="J446" s="30">
        <f t="shared" ref="J446" si="1542">E446-E445</f>
        <v>140</v>
      </c>
      <c r="K446" s="13">
        <f t="shared" ref="K446" si="1543">(F446-F394)/F394</f>
        <v>0.6205357142857143</v>
      </c>
      <c r="L446" s="3">
        <f t="shared" ref="L446" si="1544">AVERAGE(F290,F342,F394)</f>
        <v>504</v>
      </c>
    </row>
    <row r="447" spans="1:12" ht="14.25" x14ac:dyDescent="0.2">
      <c r="A447" s="21">
        <f t="shared" si="1412"/>
        <v>41720</v>
      </c>
      <c r="B447" s="3">
        <f>106+30</f>
        <v>136</v>
      </c>
      <c r="C447" s="3">
        <f>21+11+7</f>
        <v>39</v>
      </c>
      <c r="D447" s="3">
        <f>16+171+27</f>
        <v>214</v>
      </c>
      <c r="E447" s="30">
        <f t="shared" si="1316"/>
        <v>389</v>
      </c>
      <c r="F447" s="30">
        <v>757</v>
      </c>
      <c r="G447" s="3">
        <f t="shared" ref="G447" si="1545">F447-E447</f>
        <v>368</v>
      </c>
      <c r="H447" s="49">
        <f t="shared" ref="H447" si="1546">(F447-F446)/F446</f>
        <v>4.2699724517906337E-2</v>
      </c>
      <c r="I447" s="57">
        <f t="shared" ref="I447" si="1547">(E447-E446)/E446</f>
        <v>-0.18789144050104384</v>
      </c>
      <c r="J447" s="30">
        <f t="shared" ref="J447" si="1548">E447-E446</f>
        <v>-90</v>
      </c>
      <c r="K447" s="13">
        <f t="shared" ref="K447" si="1549">(F447-F395)/F395</f>
        <v>0.90680100755667503</v>
      </c>
      <c r="L447" s="3">
        <f t="shared" ref="L447" si="1550">AVERAGE(F291,F343,F395)</f>
        <v>516.66666666666663</v>
      </c>
    </row>
    <row r="448" spans="1:12" ht="14.25" x14ac:dyDescent="0.2">
      <c r="A448" s="21">
        <f t="shared" si="1412"/>
        <v>41727</v>
      </c>
      <c r="B448" s="3">
        <f>10+178+6+55</f>
        <v>249</v>
      </c>
      <c r="C448" s="3">
        <f>20+3+1+3</f>
        <v>27</v>
      </c>
      <c r="D448" s="3">
        <f>13+177+29</f>
        <v>219</v>
      </c>
      <c r="E448" s="30">
        <f t="shared" si="1316"/>
        <v>495</v>
      </c>
      <c r="F448" s="30">
        <v>761</v>
      </c>
      <c r="G448" s="3">
        <f t="shared" ref="G448" si="1551">F448-E448</f>
        <v>266</v>
      </c>
      <c r="H448" s="49">
        <f t="shared" ref="H448" si="1552">(F448-F447)/F447</f>
        <v>5.2840158520475562E-3</v>
      </c>
      <c r="I448" s="57">
        <f t="shared" ref="I448" si="1553">(E448-E447)/E447</f>
        <v>0.27249357326478146</v>
      </c>
      <c r="J448" s="30">
        <f t="shared" ref="J448" si="1554">E448-E447</f>
        <v>106</v>
      </c>
      <c r="K448" s="13">
        <f t="shared" ref="K448" si="1555">(F448-F396)/F396</f>
        <v>1.0964187327823691</v>
      </c>
      <c r="L448" s="3">
        <f t="shared" ref="L448" si="1556">AVERAGE(F292,F344,F396)</f>
        <v>447.33333333333331</v>
      </c>
    </row>
    <row r="449" spans="1:12" ht="14.25" x14ac:dyDescent="0.2">
      <c r="A449" s="21">
        <f t="shared" si="1412"/>
        <v>41734</v>
      </c>
      <c r="B449" s="3">
        <f>12+210+30</f>
        <v>252</v>
      </c>
      <c r="C449" s="3">
        <f>21+4+1+2</f>
        <v>28</v>
      </c>
      <c r="D449" s="3">
        <f>11+113+15</f>
        <v>139</v>
      </c>
      <c r="E449" s="30">
        <f t="shared" si="1316"/>
        <v>419</v>
      </c>
      <c r="F449" s="30">
        <v>709</v>
      </c>
      <c r="G449" s="3">
        <f t="shared" ref="G449" si="1557">F449-E449</f>
        <v>290</v>
      </c>
      <c r="H449" s="49">
        <f t="shared" ref="H449" si="1558">(F449-F448)/F448</f>
        <v>-6.8331143232588695E-2</v>
      </c>
      <c r="I449" s="57">
        <f t="shared" ref="I449" si="1559">(E449-E448)/E448</f>
        <v>-0.15353535353535352</v>
      </c>
      <c r="J449" s="30">
        <f t="shared" ref="J449" si="1560">E449-E448</f>
        <v>-76</v>
      </c>
      <c r="K449" s="13">
        <f t="shared" ref="K449" si="1561">(F449-F397)/F397</f>
        <v>1.279742765273312</v>
      </c>
      <c r="L449" s="3">
        <f t="shared" ref="L449" si="1562">AVERAGE(F293,F345,F397)</f>
        <v>449.33333333333331</v>
      </c>
    </row>
    <row r="450" spans="1:12" ht="14.25" x14ac:dyDescent="0.2">
      <c r="A450" s="21">
        <f t="shared" si="1412"/>
        <v>41741</v>
      </c>
      <c r="B450" s="3">
        <f>11+189+2+80</f>
        <v>282</v>
      </c>
      <c r="C450" s="3">
        <f>15+3+2</f>
        <v>20</v>
      </c>
      <c r="D450" s="3">
        <f>12+118+0+19</f>
        <v>149</v>
      </c>
      <c r="E450" s="30">
        <f t="shared" si="1316"/>
        <v>451</v>
      </c>
      <c r="F450" s="30">
        <v>676</v>
      </c>
      <c r="G450" s="3">
        <f t="shared" ref="G450" si="1563">F450-E450</f>
        <v>225</v>
      </c>
      <c r="H450" s="49">
        <f t="shared" ref="H450" si="1564">(F450-F449)/F449</f>
        <v>-4.6544428772919602E-2</v>
      </c>
      <c r="I450" s="57">
        <f t="shared" ref="I450" si="1565">(E450-E449)/E449</f>
        <v>7.6372315035799526E-2</v>
      </c>
      <c r="J450" s="30">
        <f t="shared" ref="J450" si="1566">E450-E449</f>
        <v>32</v>
      </c>
      <c r="K450" s="13">
        <f t="shared" ref="K450" si="1567">(F450-F398)/F398</f>
        <v>1.0672782874617737</v>
      </c>
      <c r="L450" s="3">
        <f t="shared" ref="L450" si="1568">AVERAGE(F294,F346,F398)</f>
        <v>474.33333333333331</v>
      </c>
    </row>
    <row r="451" spans="1:12" ht="14.25" x14ac:dyDescent="0.2">
      <c r="A451" s="21">
        <f t="shared" si="1412"/>
        <v>41748</v>
      </c>
      <c r="B451" s="3">
        <f>1+230+71</f>
        <v>302</v>
      </c>
      <c r="C451" s="3">
        <f>24+0+1+3</f>
        <v>28</v>
      </c>
      <c r="D451" s="3">
        <f>8+91+12</f>
        <v>111</v>
      </c>
      <c r="E451" s="30">
        <f t="shared" si="1316"/>
        <v>441</v>
      </c>
      <c r="F451" s="30">
        <v>623</v>
      </c>
      <c r="G451" s="3">
        <f t="shared" ref="G451" si="1569">F451-E451</f>
        <v>182</v>
      </c>
      <c r="H451" s="49">
        <f t="shared" ref="H451" si="1570">(F451-F450)/F450</f>
        <v>-7.8402366863905323E-2</v>
      </c>
      <c r="I451" s="57">
        <f t="shared" ref="I451" si="1571">(E451-E450)/E450</f>
        <v>-2.2172949002217297E-2</v>
      </c>
      <c r="J451" s="30">
        <f t="shared" ref="J451" si="1572">E451-E450</f>
        <v>-10</v>
      </c>
      <c r="K451" s="13">
        <f t="shared" ref="K451" si="1573">(F451-F399)/F399</f>
        <v>0.64814814814814814</v>
      </c>
      <c r="L451" s="3">
        <f t="shared" ref="L451" si="1574">AVERAGE(F295,F347,F399)</f>
        <v>385.33333333333331</v>
      </c>
    </row>
    <row r="452" spans="1:12" ht="14.25" x14ac:dyDescent="0.2">
      <c r="A452" s="21">
        <f t="shared" si="1412"/>
        <v>41755</v>
      </c>
      <c r="B452" s="3">
        <f>6+217+4+44</f>
        <v>271</v>
      </c>
      <c r="C452" s="3">
        <f>13+3+2</f>
        <v>18</v>
      </c>
      <c r="D452" s="3">
        <f>0+103+12</f>
        <v>115</v>
      </c>
      <c r="E452" s="30">
        <f t="shared" si="1316"/>
        <v>404</v>
      </c>
      <c r="F452" s="30">
        <v>544</v>
      </c>
      <c r="G452" s="3">
        <f t="shared" ref="G452" si="1575">F452-E452</f>
        <v>140</v>
      </c>
      <c r="H452" s="49">
        <f t="shared" ref="H452" si="1576">(F452-F451)/F451</f>
        <v>-0.12680577849117175</v>
      </c>
      <c r="I452" s="57">
        <f t="shared" ref="I452" si="1577">(E452-E451)/E451</f>
        <v>-8.390022675736962E-2</v>
      </c>
      <c r="J452" s="30">
        <f t="shared" ref="J452" si="1578">E452-E451</f>
        <v>-37</v>
      </c>
      <c r="K452" s="13">
        <f t="shared" ref="K452" si="1579">(F452-F400)/F400</f>
        <v>0.95683453237410077</v>
      </c>
      <c r="L452" s="3">
        <f t="shared" ref="L452" si="1580">AVERAGE(F296,F348,F400)</f>
        <v>326.66666666666669</v>
      </c>
    </row>
    <row r="453" spans="1:12" ht="14.25" x14ac:dyDescent="0.2">
      <c r="A453" s="21">
        <f t="shared" si="1412"/>
        <v>41762</v>
      </c>
      <c r="B453" s="3">
        <f>10+324+48</f>
        <v>382</v>
      </c>
      <c r="C453" s="3">
        <f>29+0+3</f>
        <v>32</v>
      </c>
      <c r="D453" s="3">
        <f>3+76+15</f>
        <v>94</v>
      </c>
      <c r="E453" s="30">
        <f t="shared" si="1316"/>
        <v>508</v>
      </c>
      <c r="F453" s="30">
        <v>613</v>
      </c>
      <c r="G453" s="3">
        <f t="shared" ref="G453" si="1581">F453-E453</f>
        <v>105</v>
      </c>
      <c r="H453" s="49">
        <f t="shared" ref="H453" si="1582">(F453-F452)/F452</f>
        <v>0.12683823529411764</v>
      </c>
      <c r="I453" s="57">
        <f t="shared" ref="I453" si="1583">(E453-E452)/E452</f>
        <v>0.25742574257425743</v>
      </c>
      <c r="J453" s="30">
        <f t="shared" ref="J453" si="1584">E453-E452</f>
        <v>104</v>
      </c>
      <c r="K453" s="13">
        <f t="shared" ref="K453" si="1585">(F453-F401)/F401</f>
        <v>1.6196581196581197</v>
      </c>
      <c r="L453" s="3">
        <f t="shared" ref="L453" si="1586">AVERAGE(F297,F349,F401)</f>
        <v>330</v>
      </c>
    </row>
    <row r="454" spans="1:12" ht="14.25" x14ac:dyDescent="0.2">
      <c r="A454" s="21">
        <f t="shared" si="1412"/>
        <v>41769</v>
      </c>
      <c r="B454" s="3">
        <f>6+289+1+65</f>
        <v>361</v>
      </c>
      <c r="C454" s="3">
        <f>19+0+2</f>
        <v>21</v>
      </c>
      <c r="D454" s="3">
        <f>1+75+14</f>
        <v>90</v>
      </c>
      <c r="E454" s="30">
        <f t="shared" si="1316"/>
        <v>472</v>
      </c>
      <c r="F454" s="30">
        <v>492</v>
      </c>
      <c r="G454" s="3">
        <f t="shared" ref="G454" si="1587">F454-E454</f>
        <v>20</v>
      </c>
      <c r="H454" s="49">
        <f t="shared" ref="H454" si="1588">(F454-F453)/F453</f>
        <v>-0.19738988580750408</v>
      </c>
      <c r="I454" s="57">
        <f t="shared" ref="I454" si="1589">(E454-E453)/E453</f>
        <v>-7.0866141732283464E-2</v>
      </c>
      <c r="J454" s="30">
        <f t="shared" ref="J454" si="1590">E454-E453</f>
        <v>-36</v>
      </c>
      <c r="K454" s="13">
        <f t="shared" ref="K454" si="1591">(F454-F402)/F402</f>
        <v>1.4356435643564356</v>
      </c>
      <c r="L454" s="3">
        <f t="shared" ref="L454" si="1592">AVERAGE(F298,F350,F402)</f>
        <v>373.66666666666669</v>
      </c>
    </row>
    <row r="455" spans="1:12" ht="14.25" x14ac:dyDescent="0.2">
      <c r="A455" s="21">
        <f t="shared" ref="A455:A577" si="1593">7+A454</f>
        <v>41776</v>
      </c>
      <c r="B455" s="3">
        <f>3+292+1+0+42</f>
        <v>338</v>
      </c>
      <c r="C455" s="3">
        <f>43+0+1</f>
        <v>44</v>
      </c>
      <c r="D455" s="3">
        <f>2+66+6</f>
        <v>74</v>
      </c>
      <c r="E455" s="30">
        <f t="shared" si="1316"/>
        <v>456</v>
      </c>
      <c r="F455" s="30">
        <v>567</v>
      </c>
      <c r="G455" s="3">
        <f t="shared" ref="G455" si="1594">F455-E455</f>
        <v>111</v>
      </c>
      <c r="H455" s="49">
        <f t="shared" ref="H455" si="1595">(F455-F454)/F454</f>
        <v>0.1524390243902439</v>
      </c>
      <c r="I455" s="57">
        <f t="shared" ref="I455" si="1596">(E455-E454)/E454</f>
        <v>-3.3898305084745763E-2</v>
      </c>
      <c r="J455" s="30">
        <f t="shared" ref="J455" si="1597">E455-E454</f>
        <v>-16</v>
      </c>
      <c r="K455" s="13">
        <f t="shared" ref="K455" si="1598">(F455-F403)/F403</f>
        <v>0.50797872340425532</v>
      </c>
      <c r="L455" s="3">
        <f t="shared" ref="L455" si="1599">AVERAGE(F299,F351,F403)</f>
        <v>387</v>
      </c>
    </row>
    <row r="456" spans="1:12" ht="14.25" x14ac:dyDescent="0.2">
      <c r="A456" s="21">
        <f t="shared" si="1593"/>
        <v>41783</v>
      </c>
      <c r="B456" s="3">
        <f>13+299+4+34</f>
        <v>350</v>
      </c>
      <c r="C456" s="3">
        <f>6+0+1</f>
        <v>7</v>
      </c>
      <c r="D456" s="3">
        <f>0+62+3</f>
        <v>65</v>
      </c>
      <c r="E456" s="30">
        <f t="shared" si="1316"/>
        <v>422</v>
      </c>
      <c r="F456" s="30">
        <v>606</v>
      </c>
      <c r="G456" s="3">
        <f t="shared" ref="G456" si="1600">F456-E456</f>
        <v>184</v>
      </c>
      <c r="H456" s="49">
        <f t="shared" ref="H456" si="1601">(F456-F455)/F455</f>
        <v>6.8783068783068779E-2</v>
      </c>
      <c r="I456" s="57">
        <f t="shared" ref="I456" si="1602">(E456-E455)/E455</f>
        <v>-7.4561403508771926E-2</v>
      </c>
      <c r="J456" s="30">
        <f t="shared" ref="J456" si="1603">E456-E455</f>
        <v>-34</v>
      </c>
      <c r="K456" s="13">
        <f t="shared" ref="K456" si="1604">(F456-F404)/F404</f>
        <v>0.58638743455497377</v>
      </c>
      <c r="L456" s="3">
        <f t="shared" ref="L456" si="1605">AVERAGE(F300,F352,F404)</f>
        <v>392.66666666666669</v>
      </c>
    </row>
    <row r="457" spans="1:12" ht="14.25" x14ac:dyDescent="0.2">
      <c r="A457" s="21">
        <f t="shared" si="1593"/>
        <v>41790</v>
      </c>
      <c r="B457" s="3">
        <f>10+350+7+61</f>
        <v>428</v>
      </c>
      <c r="C457" s="3">
        <f>18+0+1+5</f>
        <v>24</v>
      </c>
      <c r="D457" s="3">
        <f>6+79+12</f>
        <v>97</v>
      </c>
      <c r="E457" s="30">
        <f t="shared" si="1316"/>
        <v>549</v>
      </c>
      <c r="F457" s="30">
        <v>453</v>
      </c>
      <c r="G457" s="3">
        <f t="shared" ref="G457" si="1606">F457-E457</f>
        <v>-96</v>
      </c>
      <c r="H457" s="49">
        <f t="shared" ref="H457" si="1607">(F457-F456)/F456</f>
        <v>-0.25247524752475248</v>
      </c>
      <c r="I457" s="57">
        <f t="shared" ref="I457" si="1608">(E457-E456)/E456</f>
        <v>0.3009478672985782</v>
      </c>
      <c r="J457" s="30">
        <f t="shared" ref="J457" si="1609">E457-E456</f>
        <v>127</v>
      </c>
      <c r="K457" s="13">
        <f t="shared" ref="K457" si="1610">(F457-F405)/F405</f>
        <v>0.6966292134831461</v>
      </c>
      <c r="L457" s="3">
        <f t="shared" ref="L457" si="1611">AVERAGE(F301,F353,F405)</f>
        <v>315.33333333333331</v>
      </c>
    </row>
    <row r="458" spans="1:12" ht="14.25" x14ac:dyDescent="0.2">
      <c r="A458" s="21">
        <f t="shared" si="1593"/>
        <v>41797</v>
      </c>
      <c r="B458" s="3">
        <f>4+281+72</f>
        <v>357</v>
      </c>
      <c r="C458" s="3">
        <f>15+0+2</f>
        <v>17</v>
      </c>
      <c r="D458" s="3">
        <f>0+114+6</f>
        <v>120</v>
      </c>
      <c r="E458" s="30">
        <f t="shared" si="1316"/>
        <v>494</v>
      </c>
      <c r="F458" s="30">
        <v>564</v>
      </c>
      <c r="G458" s="3">
        <f t="shared" ref="G458" si="1612">F458-E458</f>
        <v>70</v>
      </c>
      <c r="H458" s="49">
        <f t="shared" ref="H458" si="1613">(F458-F457)/F457</f>
        <v>0.24503311258278146</v>
      </c>
      <c r="I458" s="57">
        <f t="shared" ref="I458" si="1614">(E458-E457)/E457</f>
        <v>-0.10018214936247723</v>
      </c>
      <c r="J458" s="30">
        <f t="shared" ref="J458" si="1615">E458-E457</f>
        <v>-55</v>
      </c>
      <c r="K458" s="13">
        <f t="shared" ref="K458" si="1616">(F458-F406)/F406</f>
        <v>0.80191693290734822</v>
      </c>
      <c r="L458" s="3">
        <f t="shared" ref="L458" si="1617">AVERAGE(F302,F354,F406)</f>
        <v>284.33333333333331</v>
      </c>
    </row>
    <row r="459" spans="1:12" ht="14.25" x14ac:dyDescent="0.2">
      <c r="A459" s="21">
        <f t="shared" si="1593"/>
        <v>41804</v>
      </c>
      <c r="B459" s="3">
        <f>7+303+0+1+38</f>
        <v>349</v>
      </c>
      <c r="C459" s="3">
        <f>12+0+2</f>
        <v>14</v>
      </c>
      <c r="D459" s="3">
        <f>0+50+1+2</f>
        <v>53</v>
      </c>
      <c r="E459" s="30">
        <f t="shared" si="1316"/>
        <v>416</v>
      </c>
      <c r="F459" s="30">
        <v>592</v>
      </c>
      <c r="G459" s="3">
        <f t="shared" ref="G459" si="1618">F459-E459</f>
        <v>176</v>
      </c>
      <c r="H459" s="49">
        <f t="shared" ref="H459" si="1619">(F459-F458)/F458</f>
        <v>4.9645390070921988E-2</v>
      </c>
      <c r="I459" s="57">
        <f t="shared" ref="I459" si="1620">(E459-E458)/E458</f>
        <v>-0.15789473684210525</v>
      </c>
      <c r="J459" s="30">
        <f t="shared" ref="J459" si="1621">E459-E458</f>
        <v>-78</v>
      </c>
      <c r="K459" s="13">
        <f t="shared" ref="K459" si="1622">(F459-F407)/F407</f>
        <v>1.2769230769230768</v>
      </c>
      <c r="L459" s="3">
        <f t="shared" ref="L459" si="1623">AVERAGE(F303,F355,F407)</f>
        <v>350</v>
      </c>
    </row>
    <row r="460" spans="1:12" ht="14.25" x14ac:dyDescent="0.2">
      <c r="A460" s="21">
        <f t="shared" si="1593"/>
        <v>41811</v>
      </c>
      <c r="B460" s="3">
        <f>8+430+0+1+25</f>
        <v>464</v>
      </c>
      <c r="C460" s="3">
        <f>17+0+2+1</f>
        <v>20</v>
      </c>
      <c r="D460" s="3">
        <f>0+46+1+5</f>
        <v>52</v>
      </c>
      <c r="E460" s="30">
        <f t="shared" si="1316"/>
        <v>536</v>
      </c>
      <c r="F460" s="30">
        <v>431</v>
      </c>
      <c r="G460" s="3">
        <f t="shared" ref="G460" si="1624">F460-E460</f>
        <v>-105</v>
      </c>
      <c r="H460" s="49">
        <f t="shared" ref="H460" si="1625">(F460-F459)/F459</f>
        <v>-0.27195945945945948</v>
      </c>
      <c r="I460" s="57">
        <f t="shared" ref="I460" si="1626">(E460-E459)/E459</f>
        <v>0.28846153846153844</v>
      </c>
      <c r="J460" s="30">
        <f t="shared" ref="J460" si="1627">E460-E459</f>
        <v>120</v>
      </c>
      <c r="K460" s="13">
        <f t="shared" ref="K460" si="1628">(F460-F408)/F408</f>
        <v>0.31402439024390244</v>
      </c>
      <c r="L460" s="3">
        <f t="shared" ref="L460" si="1629">AVERAGE(F304,F356,F408)</f>
        <v>370</v>
      </c>
    </row>
    <row r="461" spans="1:12" ht="14.25" x14ac:dyDescent="0.2">
      <c r="A461" s="21">
        <f t="shared" si="1593"/>
        <v>41818</v>
      </c>
      <c r="B461" s="3">
        <f>309+0+67</f>
        <v>376</v>
      </c>
      <c r="C461" s="3">
        <f>42+0+1</f>
        <v>43</v>
      </c>
      <c r="D461" s="3">
        <f>4+95+0</f>
        <v>99</v>
      </c>
      <c r="E461" s="30">
        <f t="shared" si="1316"/>
        <v>518</v>
      </c>
      <c r="F461" s="30">
        <v>531</v>
      </c>
      <c r="G461" s="3">
        <f t="shared" ref="G461" si="1630">F461-E461</f>
        <v>13</v>
      </c>
      <c r="H461" s="49">
        <f t="shared" ref="H461" si="1631">(F461-F460)/F460</f>
        <v>0.23201856148491878</v>
      </c>
      <c r="I461" s="57">
        <f t="shared" ref="I461" si="1632">(E461-E460)/E460</f>
        <v>-3.3582089552238806E-2</v>
      </c>
      <c r="J461" s="30">
        <f t="shared" ref="J461" si="1633">E461-E460</f>
        <v>-18</v>
      </c>
      <c r="K461" s="13">
        <f t="shared" ref="K461" si="1634">(F461-F409)/F409</f>
        <v>0.34771573604060912</v>
      </c>
      <c r="L461" s="3">
        <f t="shared" ref="L461" si="1635">AVERAGE(F305,F357,F409)</f>
        <v>435.66666666666669</v>
      </c>
    </row>
    <row r="462" spans="1:12" ht="14.25" x14ac:dyDescent="0.2">
      <c r="A462" s="21">
        <f t="shared" si="1593"/>
        <v>41825</v>
      </c>
      <c r="B462" s="3">
        <f>1+258+3+18</f>
        <v>280</v>
      </c>
      <c r="C462" s="3">
        <f>20+0</f>
        <v>20</v>
      </c>
      <c r="D462" s="3">
        <f>45+63+9</f>
        <v>117</v>
      </c>
      <c r="E462" s="30">
        <f t="shared" si="1316"/>
        <v>417</v>
      </c>
      <c r="F462" s="30">
        <v>575</v>
      </c>
      <c r="G462" s="3">
        <f t="shared" ref="G462" si="1636">F462-E462</f>
        <v>158</v>
      </c>
      <c r="H462" s="49">
        <f t="shared" ref="H462" si="1637">(F462-F461)/F461</f>
        <v>8.2862523540489647E-2</v>
      </c>
      <c r="I462" s="57">
        <f t="shared" ref="I462" si="1638">(E462-E461)/E461</f>
        <v>-0.19498069498069498</v>
      </c>
      <c r="J462" s="30">
        <f t="shared" ref="J462" si="1639">E462-E461</f>
        <v>-101</v>
      </c>
      <c r="K462" s="13">
        <f t="shared" ref="K462" si="1640">(F462-F410)/F410</f>
        <v>1.0034843205574913</v>
      </c>
      <c r="L462" s="3">
        <f t="shared" ref="L462" si="1641">AVERAGE(F306,F358,F410)</f>
        <v>390.33333333333331</v>
      </c>
    </row>
    <row r="463" spans="1:12" ht="14.25" x14ac:dyDescent="0.2">
      <c r="A463" s="21">
        <f t="shared" si="1593"/>
        <v>41832</v>
      </c>
      <c r="B463" s="3">
        <f>151+15</f>
        <v>166</v>
      </c>
      <c r="C463" s="3">
        <f>42+0+1</f>
        <v>43</v>
      </c>
      <c r="D463" s="3">
        <f>41+64+2+6</f>
        <v>113</v>
      </c>
      <c r="E463" s="30">
        <f t="shared" si="1316"/>
        <v>322</v>
      </c>
      <c r="F463" s="30">
        <v>600</v>
      </c>
      <c r="G463" s="3">
        <f t="shared" ref="G463" si="1642">F463-E463</f>
        <v>278</v>
      </c>
      <c r="H463" s="49">
        <f t="shared" ref="H463" si="1643">(F463-F462)/F462</f>
        <v>4.3478260869565216E-2</v>
      </c>
      <c r="I463" s="57">
        <f t="shared" ref="I463" si="1644">(E463-E462)/E462</f>
        <v>-0.22781774580335731</v>
      </c>
      <c r="J463" s="30">
        <f t="shared" ref="J463" si="1645">E463-E462</f>
        <v>-95</v>
      </c>
      <c r="K463" s="13">
        <f t="shared" ref="K463" si="1646">(F463-F411)/F411</f>
        <v>0.39534883720930231</v>
      </c>
      <c r="L463" s="3">
        <f t="shared" ref="L463" si="1647">AVERAGE(F307,F359,F411)</f>
        <v>438.66666666666669</v>
      </c>
    </row>
    <row r="464" spans="1:12" ht="14.25" x14ac:dyDescent="0.2">
      <c r="A464" s="21">
        <f t="shared" si="1593"/>
        <v>41839</v>
      </c>
      <c r="B464" s="3">
        <f>137+33</f>
        <v>170</v>
      </c>
      <c r="C464" s="3">
        <v>25</v>
      </c>
      <c r="D464" s="3">
        <f>25+41+6</f>
        <v>72</v>
      </c>
      <c r="E464" s="30">
        <f t="shared" si="1316"/>
        <v>267</v>
      </c>
      <c r="F464" s="30">
        <v>461</v>
      </c>
      <c r="G464" s="3">
        <f t="shared" ref="G464" si="1648">F464-E464</f>
        <v>194</v>
      </c>
      <c r="H464" s="49">
        <f t="shared" ref="H464" si="1649">(F464-F463)/F463</f>
        <v>-0.23166666666666666</v>
      </c>
      <c r="I464" s="57">
        <f t="shared" ref="I464" si="1650">(E464-E463)/E463</f>
        <v>-0.17080745341614906</v>
      </c>
      <c r="J464" s="30">
        <f t="shared" ref="J464" si="1651">E464-E463</f>
        <v>-55</v>
      </c>
      <c r="K464" s="13">
        <f t="shared" ref="K464" si="1652">(F464-F412)/F412</f>
        <v>0.46349206349206351</v>
      </c>
      <c r="L464" s="3">
        <f t="shared" ref="L464" si="1653">AVERAGE(F308,F360,F412)</f>
        <v>423.33333333333331</v>
      </c>
    </row>
    <row r="465" spans="1:12" ht="14.25" x14ac:dyDescent="0.2">
      <c r="A465" s="21">
        <f t="shared" si="1593"/>
        <v>41846</v>
      </c>
      <c r="B465" s="3">
        <f>316+58</f>
        <v>374</v>
      </c>
      <c r="C465" s="3">
        <f>33+0+1</f>
        <v>34</v>
      </c>
      <c r="D465" s="3">
        <f>40+50+1</f>
        <v>91</v>
      </c>
      <c r="E465" s="30">
        <f t="shared" si="1316"/>
        <v>499</v>
      </c>
      <c r="F465" s="30">
        <v>407</v>
      </c>
      <c r="G465" s="3">
        <f t="shared" ref="G465" si="1654">F465-E465</f>
        <v>-92</v>
      </c>
      <c r="H465" s="49">
        <f t="shared" ref="H465" si="1655">(F465-F464)/F464</f>
        <v>-0.11713665943600868</v>
      </c>
      <c r="I465" s="57">
        <f t="shared" ref="I465" si="1656">(E465-E464)/E464</f>
        <v>0.86891385767790263</v>
      </c>
      <c r="J465" s="30">
        <f t="shared" ref="J465" si="1657">E465-E464</f>
        <v>232</v>
      </c>
      <c r="K465" s="13">
        <f t="shared" ref="K465" si="1658">(F465-F413)/F413</f>
        <v>0.23708206686930092</v>
      </c>
      <c r="L465" s="3">
        <f t="shared" ref="L465" si="1659">AVERAGE(F309,F361,F413)</f>
        <v>390.33333333333331</v>
      </c>
    </row>
    <row r="466" spans="1:12" ht="14.25" x14ac:dyDescent="0.2">
      <c r="A466" s="21">
        <f t="shared" si="1593"/>
        <v>41853</v>
      </c>
      <c r="B466" s="3">
        <f>3+309+4+43</f>
        <v>359</v>
      </c>
      <c r="C466" s="3">
        <f>35+0</f>
        <v>35</v>
      </c>
      <c r="D466" s="3">
        <f>22+65+8</f>
        <v>95</v>
      </c>
      <c r="E466" s="30">
        <f t="shared" si="1316"/>
        <v>489</v>
      </c>
      <c r="F466" s="30">
        <v>398</v>
      </c>
      <c r="G466" s="3">
        <f t="shared" ref="G466" si="1660">F466-E466</f>
        <v>-91</v>
      </c>
      <c r="H466" s="49">
        <f t="shared" ref="H466" si="1661">(F466-F465)/F465</f>
        <v>-2.2113022113022112E-2</v>
      </c>
      <c r="I466" s="57">
        <f t="shared" ref="I466" si="1662">(E466-E465)/E465</f>
        <v>-2.004008016032064E-2</v>
      </c>
      <c r="J466" s="30">
        <f t="shared" ref="J466" si="1663">E466-E465</f>
        <v>-10</v>
      </c>
      <c r="K466" s="13">
        <f t="shared" ref="K466" si="1664">(F466-F414)/F414</f>
        <v>5.8510638297872342E-2</v>
      </c>
      <c r="L466" s="3">
        <f t="shared" ref="L466" si="1665">AVERAGE(F310,F362,F414)</f>
        <v>438</v>
      </c>
    </row>
    <row r="467" spans="1:12" ht="14.25" x14ac:dyDescent="0.2">
      <c r="A467" s="21">
        <f t="shared" si="1593"/>
        <v>41860</v>
      </c>
      <c r="B467" s="3">
        <f>2+304+51</f>
        <v>357</v>
      </c>
      <c r="C467" s="3">
        <f>19</f>
        <v>19</v>
      </c>
      <c r="D467" s="3">
        <f>39+82+4</f>
        <v>125</v>
      </c>
      <c r="E467" s="30">
        <f t="shared" si="1316"/>
        <v>501</v>
      </c>
      <c r="F467" s="30">
        <v>403</v>
      </c>
      <c r="G467" s="3">
        <f t="shared" ref="G467" si="1666">F467-E467</f>
        <v>-98</v>
      </c>
      <c r="H467" s="49">
        <f t="shared" ref="H467" si="1667">(F467-F466)/F466</f>
        <v>1.2562814070351759E-2</v>
      </c>
      <c r="I467" s="57">
        <f t="shared" ref="I467" si="1668">(E467-E466)/E466</f>
        <v>2.4539877300613498E-2</v>
      </c>
      <c r="J467" s="30">
        <f t="shared" ref="J467" si="1669">E467-E466</f>
        <v>12</v>
      </c>
      <c r="K467" s="13">
        <f t="shared" ref="K467" si="1670">(F467-F415)/F415</f>
        <v>7.1808510638297879E-2</v>
      </c>
      <c r="L467" s="3">
        <f t="shared" ref="L467" si="1671">AVERAGE(F311,F363,F415)</f>
        <v>488</v>
      </c>
    </row>
    <row r="468" spans="1:12" ht="14.25" x14ac:dyDescent="0.2">
      <c r="A468" s="21">
        <f t="shared" si="1593"/>
        <v>41867</v>
      </c>
      <c r="B468" s="3">
        <f>1+182+2+16</f>
        <v>201</v>
      </c>
      <c r="C468" s="3">
        <f>27</f>
        <v>27</v>
      </c>
      <c r="D468" s="3">
        <f>41+77+0+3</f>
        <v>121</v>
      </c>
      <c r="E468" s="30">
        <f t="shared" si="1316"/>
        <v>349</v>
      </c>
      <c r="F468" s="30">
        <v>442</v>
      </c>
      <c r="G468" s="3">
        <f t="shared" ref="G468" si="1672">F468-E468</f>
        <v>93</v>
      </c>
      <c r="H468" s="49">
        <f t="shared" ref="H468" si="1673">(F468-F467)/F467</f>
        <v>9.6774193548387094E-2</v>
      </c>
      <c r="I468" s="57">
        <f t="shared" ref="I468" si="1674">(E468-E467)/E467</f>
        <v>-0.30339321357285431</v>
      </c>
      <c r="J468" s="30">
        <f t="shared" ref="J468" si="1675">E468-E467</f>
        <v>-152</v>
      </c>
      <c r="K468" s="13">
        <f t="shared" ref="K468" si="1676">(F468-F416)/F416</f>
        <v>0.16315789473684211</v>
      </c>
      <c r="L468" s="3">
        <f t="shared" ref="L468" si="1677">AVERAGE(F312,F364,F416)</f>
        <v>438.33333333333331</v>
      </c>
    </row>
    <row r="469" spans="1:12" ht="14.25" x14ac:dyDescent="0.2">
      <c r="A469" s="21">
        <f t="shared" si="1593"/>
        <v>41874</v>
      </c>
      <c r="B469" s="3">
        <f>3+276+32</f>
        <v>311</v>
      </c>
      <c r="C469" s="3">
        <f>4+2</f>
        <v>6</v>
      </c>
      <c r="D469" s="3">
        <f>38+23+1</f>
        <v>62</v>
      </c>
      <c r="E469" s="30">
        <f t="shared" si="1316"/>
        <v>379</v>
      </c>
      <c r="F469" s="30">
        <v>475</v>
      </c>
      <c r="G469" s="3">
        <f t="shared" ref="G469" si="1678">F469-E469</f>
        <v>96</v>
      </c>
      <c r="H469" s="49">
        <f t="shared" ref="H469" si="1679">(F469-F468)/F468</f>
        <v>7.4660633484162894E-2</v>
      </c>
      <c r="I469" s="57">
        <f t="shared" ref="I469" si="1680">(E469-E468)/E468</f>
        <v>8.5959885386819479E-2</v>
      </c>
      <c r="J469" s="30">
        <f t="shared" ref="J469" si="1681">E469-E468</f>
        <v>30</v>
      </c>
      <c r="K469" s="13">
        <f t="shared" ref="K469" si="1682">(F469-F417)/F417</f>
        <v>0.259946949602122</v>
      </c>
      <c r="L469" s="3">
        <f t="shared" ref="L469" si="1683">AVERAGE(F313,F365,F417)</f>
        <v>473.33333333333331</v>
      </c>
    </row>
    <row r="470" spans="1:12" ht="14.25" x14ac:dyDescent="0.2">
      <c r="A470" s="21">
        <f t="shared" si="1593"/>
        <v>41881</v>
      </c>
      <c r="B470" s="3">
        <f>14+287+1+0+28</f>
        <v>330</v>
      </c>
      <c r="C470" s="3">
        <f>36+4+3+4</f>
        <v>47</v>
      </c>
      <c r="D470" s="3">
        <f>26+42+2+10</f>
        <v>80</v>
      </c>
      <c r="E470" s="30">
        <f t="shared" si="1316"/>
        <v>457</v>
      </c>
      <c r="F470" s="30">
        <v>474</v>
      </c>
      <c r="G470" s="3">
        <f t="shared" ref="G470" si="1684">F470-E470</f>
        <v>17</v>
      </c>
      <c r="H470" s="49">
        <f t="shared" ref="H470" si="1685">(F470-F469)/F469</f>
        <v>-2.1052631578947368E-3</v>
      </c>
      <c r="I470" s="57">
        <f t="shared" ref="I470" si="1686">(E470-E469)/E469</f>
        <v>0.20580474934036938</v>
      </c>
      <c r="J470" s="30">
        <f t="shared" ref="J470" si="1687">E470-E469</f>
        <v>78</v>
      </c>
      <c r="K470" s="13">
        <f t="shared" ref="K470" si="1688">(F470-F418)/F418</f>
        <v>0.21227621483375958</v>
      </c>
      <c r="L470" s="3">
        <f t="shared" ref="L470" si="1689">AVERAGE(F314,F366,F418)</f>
        <v>320</v>
      </c>
    </row>
    <row r="471" spans="1:12" ht="14.25" x14ac:dyDescent="0.2">
      <c r="A471" s="21">
        <f t="shared" si="1593"/>
        <v>41888</v>
      </c>
      <c r="B471" s="3">
        <f>8+120+1+5</f>
        <v>134</v>
      </c>
      <c r="C471" s="3">
        <f>6+1+3</f>
        <v>10</v>
      </c>
      <c r="D471" s="3">
        <f>7+26+1+1</f>
        <v>35</v>
      </c>
      <c r="E471" s="30">
        <f t="shared" si="1316"/>
        <v>179</v>
      </c>
      <c r="F471" s="30">
        <v>576</v>
      </c>
      <c r="G471" s="3">
        <f t="shared" ref="G471" si="1690">F471-E471</f>
        <v>397</v>
      </c>
      <c r="H471" s="49">
        <f t="shared" ref="H471" si="1691">(F471-F470)/F470</f>
        <v>0.21518987341772153</v>
      </c>
      <c r="I471" s="57">
        <f t="shared" ref="I471" si="1692">(E471-E470)/E470</f>
        <v>-0.60831509846827136</v>
      </c>
      <c r="J471" s="30">
        <f t="shared" ref="J471" si="1693">E471-E470</f>
        <v>-278</v>
      </c>
      <c r="K471" s="13">
        <f t="shared" ref="K471" si="1694">(F471-F419)/F419</f>
        <v>0.24675324675324675</v>
      </c>
      <c r="L471" s="3">
        <f t="shared" ref="L471" si="1695">AVERAGE(F315,F367,F419)</f>
        <v>450.33333333333331</v>
      </c>
    </row>
    <row r="472" spans="1:12" ht="14.25" x14ac:dyDescent="0.2">
      <c r="A472" s="21">
        <f t="shared" si="1593"/>
        <v>41895</v>
      </c>
      <c r="B472" s="3">
        <f>10+87+0+5+3</f>
        <v>105</v>
      </c>
      <c r="C472" s="3">
        <f>1+1+11</f>
        <v>13</v>
      </c>
      <c r="D472" s="3">
        <f>5+31+5</f>
        <v>41</v>
      </c>
      <c r="E472" s="30">
        <f t="shared" si="1316"/>
        <v>159</v>
      </c>
      <c r="F472" s="30">
        <v>638</v>
      </c>
      <c r="G472" s="3">
        <f t="shared" ref="G472" si="1696">F472-E472</f>
        <v>479</v>
      </c>
      <c r="H472" s="49">
        <f t="shared" ref="H472" si="1697">(F472-F471)/F471</f>
        <v>0.1076388888888889</v>
      </c>
      <c r="I472" s="57">
        <f t="shared" ref="I472" si="1698">(E472-E471)/E471</f>
        <v>-0.11173184357541899</v>
      </c>
      <c r="J472" s="30">
        <f t="shared" ref="J472" si="1699">E472-E471</f>
        <v>-20</v>
      </c>
      <c r="K472" s="13">
        <f t="shared" ref="K472" si="1700">(F472-F420)/F420</f>
        <v>0.21062618595825428</v>
      </c>
      <c r="L472" s="3">
        <f t="shared" ref="L472" si="1701">AVERAGE(F316,F368,F420)</f>
        <v>506.33333333333331</v>
      </c>
    </row>
    <row r="473" spans="1:12" ht="14.25" x14ac:dyDescent="0.2">
      <c r="A473" s="21">
        <f t="shared" si="1593"/>
        <v>41902</v>
      </c>
      <c r="B473" s="3">
        <f>4+83+0+1</f>
        <v>88</v>
      </c>
      <c r="C473" s="3">
        <f>32+2+2+22</f>
        <v>58</v>
      </c>
      <c r="D473" s="3">
        <f>72+4+3</f>
        <v>79</v>
      </c>
      <c r="E473" s="30">
        <f t="shared" si="1316"/>
        <v>225</v>
      </c>
      <c r="F473" s="30">
        <v>699</v>
      </c>
      <c r="G473" s="3">
        <f t="shared" ref="G473" si="1702">F473-E473</f>
        <v>474</v>
      </c>
      <c r="H473" s="49">
        <f t="shared" ref="H473" si="1703">(F473-F472)/F472</f>
        <v>9.561128526645768E-2</v>
      </c>
      <c r="I473" s="57">
        <f t="shared" ref="I473" si="1704">(E473-E472)/E472</f>
        <v>0.41509433962264153</v>
      </c>
      <c r="J473" s="30">
        <f t="shared" ref="J473" si="1705">E473-E472</f>
        <v>66</v>
      </c>
      <c r="K473" s="13">
        <f t="shared" ref="K473" si="1706">(F473-F421)/F421</f>
        <v>3.4023668639053255E-2</v>
      </c>
      <c r="L473" s="3">
        <f t="shared" ref="L473" si="1707">AVERAGE(F317,F369,F421)</f>
        <v>609.66666666666663</v>
      </c>
    </row>
    <row r="474" spans="1:12" ht="14.25" x14ac:dyDescent="0.2">
      <c r="A474" s="21">
        <f t="shared" si="1593"/>
        <v>41909</v>
      </c>
      <c r="B474" s="3">
        <f>4+58+1+3</f>
        <v>66</v>
      </c>
      <c r="C474" s="3">
        <f>6+1+6+29</f>
        <v>42</v>
      </c>
      <c r="D474" s="3">
        <f>2+114+3</f>
        <v>119</v>
      </c>
      <c r="E474" s="30">
        <f t="shared" si="1316"/>
        <v>227</v>
      </c>
      <c r="F474" s="30">
        <v>722</v>
      </c>
      <c r="G474" s="3">
        <f t="shared" ref="G474" si="1708">F474-E474</f>
        <v>495</v>
      </c>
      <c r="H474" s="49">
        <f t="shared" ref="H474" si="1709">(F474-F473)/F473</f>
        <v>3.2904148783977114E-2</v>
      </c>
      <c r="I474" s="57">
        <f t="shared" ref="I474" si="1710">(E474-E473)/E473</f>
        <v>8.8888888888888889E-3</v>
      </c>
      <c r="J474" s="30">
        <f t="shared" ref="J474" si="1711">E474-E473</f>
        <v>2</v>
      </c>
      <c r="K474" s="13">
        <f t="shared" ref="K474" si="1712">(F474-F422)/F422</f>
        <v>6.1764705882352944E-2</v>
      </c>
      <c r="L474" s="3">
        <f t="shared" ref="L474" si="1713">AVERAGE(F318,F370,F422)</f>
        <v>632</v>
      </c>
    </row>
    <row r="475" spans="1:12" ht="14.25" x14ac:dyDescent="0.2">
      <c r="A475" s="21">
        <f t="shared" si="1593"/>
        <v>41916</v>
      </c>
      <c r="B475" s="3">
        <v>159</v>
      </c>
      <c r="C475" s="3">
        <v>55</v>
      </c>
      <c r="D475" s="3">
        <v>107</v>
      </c>
      <c r="E475" s="30">
        <f t="shared" ref="E475:E489" si="1714">SUM(B475:D475)</f>
        <v>321</v>
      </c>
      <c r="F475" s="30">
        <v>803</v>
      </c>
      <c r="G475" s="3">
        <f t="shared" ref="G475" si="1715">F475-E475</f>
        <v>482</v>
      </c>
      <c r="H475" s="49">
        <f t="shared" ref="H475" si="1716">(F475-F474)/F474</f>
        <v>0.11218836565096953</v>
      </c>
      <c r="I475" s="57">
        <f t="shared" ref="I475" si="1717">(E475-E474)/E474</f>
        <v>0.41409691629955947</v>
      </c>
      <c r="J475" s="30">
        <f t="shared" ref="J475" si="1718">E475-E474</f>
        <v>94</v>
      </c>
      <c r="K475" s="13">
        <f t="shared" ref="K475" si="1719">(F475-F423)/F423</f>
        <v>7.9301075268817203E-2</v>
      </c>
      <c r="L475" s="3">
        <f t="shared" ref="L475" si="1720">AVERAGE(F319,F371,F423)</f>
        <v>609.66666666666663</v>
      </c>
    </row>
    <row r="476" spans="1:12" ht="14.25" x14ac:dyDescent="0.2">
      <c r="A476" s="21">
        <f t="shared" si="1593"/>
        <v>41923</v>
      </c>
      <c r="B476" s="3">
        <f>6+83+124</f>
        <v>213</v>
      </c>
      <c r="C476" s="3">
        <f>4+1+3+38</f>
        <v>46</v>
      </c>
      <c r="D476" s="3">
        <f>3+95+63</f>
        <v>161</v>
      </c>
      <c r="E476" s="30">
        <f t="shared" si="1714"/>
        <v>420</v>
      </c>
      <c r="F476" s="30">
        <v>909</v>
      </c>
      <c r="G476" s="3">
        <f t="shared" ref="G476" si="1721">F476-E476</f>
        <v>489</v>
      </c>
      <c r="H476" s="49">
        <f t="shared" ref="H476" si="1722">(F476-F475)/F475</f>
        <v>0.13200498132004981</v>
      </c>
      <c r="I476" s="57">
        <f t="shared" ref="I476" si="1723">(E476-E475)/E475</f>
        <v>0.30841121495327101</v>
      </c>
      <c r="J476" s="30">
        <f t="shared" ref="J476" si="1724">E476-E475</f>
        <v>99</v>
      </c>
      <c r="K476" s="13">
        <f t="shared" ref="K476" si="1725">(F476-F424)/F424</f>
        <v>9.915356711003627E-2</v>
      </c>
      <c r="L476" s="3">
        <f t="shared" ref="L476" si="1726">AVERAGE(F320,F372,F424)</f>
        <v>686.66666666666663</v>
      </c>
    </row>
    <row r="477" spans="1:12" ht="14.25" x14ac:dyDescent="0.2">
      <c r="A477" s="21">
        <f t="shared" si="1593"/>
        <v>41930</v>
      </c>
      <c r="B477" s="3">
        <f>2+80+0+125</f>
        <v>207</v>
      </c>
      <c r="C477" s="3">
        <f>7+3+25</f>
        <v>35</v>
      </c>
      <c r="D477" s="3">
        <f>0+67+0+72</f>
        <v>139</v>
      </c>
      <c r="E477" s="30">
        <f t="shared" si="1714"/>
        <v>381</v>
      </c>
      <c r="F477" s="30">
        <v>909</v>
      </c>
      <c r="G477" s="3">
        <f t="shared" ref="G477" si="1727">F477-E477</f>
        <v>528</v>
      </c>
      <c r="H477" s="49">
        <f t="shared" ref="H477" si="1728">(F477-F476)/F476</f>
        <v>0</v>
      </c>
      <c r="I477" s="57">
        <f t="shared" ref="I477" si="1729">(E477-E476)/E476</f>
        <v>-9.285714285714286E-2</v>
      </c>
      <c r="J477" s="30">
        <f t="shared" ref="J477" si="1730">E477-E476</f>
        <v>-39</v>
      </c>
      <c r="K477" s="13">
        <f t="shared" ref="K477" si="1731">(F477-F425)/F425</f>
        <v>0.16538461538461538</v>
      </c>
      <c r="L477" s="3">
        <f t="shared" ref="L477" si="1732">AVERAGE(F321,F373,F425)</f>
        <v>739.66666666666663</v>
      </c>
    </row>
    <row r="478" spans="1:12" ht="14.25" x14ac:dyDescent="0.2">
      <c r="A478" s="21">
        <f t="shared" si="1593"/>
        <v>41937</v>
      </c>
      <c r="B478" s="3">
        <f>2+73+0+2+270</f>
        <v>347</v>
      </c>
      <c r="C478" s="3">
        <f>2+31</f>
        <v>33</v>
      </c>
      <c r="D478" s="3">
        <f>0+54+38</f>
        <v>92</v>
      </c>
      <c r="E478" s="30">
        <f t="shared" si="1714"/>
        <v>472</v>
      </c>
      <c r="F478" s="30">
        <v>858</v>
      </c>
      <c r="G478" s="3">
        <f t="shared" ref="G478" si="1733">F478-E478</f>
        <v>386</v>
      </c>
      <c r="H478" s="49">
        <f t="shared" ref="H478" si="1734">(F478-F477)/F477</f>
        <v>-5.6105610561056105E-2</v>
      </c>
      <c r="I478" s="57">
        <f t="shared" ref="I478" si="1735">(E478-E477)/E477</f>
        <v>0.23884514435695539</v>
      </c>
      <c r="J478" s="30">
        <f t="shared" ref="J478" si="1736">E478-E477</f>
        <v>91</v>
      </c>
      <c r="K478" s="13">
        <f t="shared" ref="K478" si="1737">(F478-F426)/F426</f>
        <v>5.5350553505535055E-2</v>
      </c>
      <c r="L478" s="3">
        <f t="shared" ref="L478" si="1738">AVERAGE(F322,F374,F426)</f>
        <v>783</v>
      </c>
    </row>
    <row r="479" spans="1:12" ht="14.25" x14ac:dyDescent="0.2">
      <c r="A479" s="21">
        <f t="shared" si="1593"/>
        <v>41944</v>
      </c>
      <c r="B479" s="3">
        <f>57+11+1+239</f>
        <v>308</v>
      </c>
      <c r="C479" s="3">
        <f>5+39</f>
        <v>44</v>
      </c>
      <c r="D479" s="3">
        <f>1+19+164</f>
        <v>184</v>
      </c>
      <c r="E479" s="30">
        <f t="shared" si="1714"/>
        <v>536</v>
      </c>
      <c r="F479" s="30">
        <v>882</v>
      </c>
      <c r="G479" s="3">
        <f t="shared" ref="G479" si="1739">F479-E479</f>
        <v>346</v>
      </c>
      <c r="H479" s="49">
        <f t="shared" ref="H479" si="1740">(F479-F478)/F478</f>
        <v>2.7972027972027972E-2</v>
      </c>
      <c r="I479" s="57">
        <f t="shared" ref="I479" si="1741">(E479-E478)/E478</f>
        <v>0.13559322033898305</v>
      </c>
      <c r="J479" s="30">
        <f t="shared" ref="J479" si="1742">E479-E478</f>
        <v>64</v>
      </c>
      <c r="K479" s="13">
        <f t="shared" ref="K479" si="1743">(F479-F427)/F427</f>
        <v>-4.2345276872964167E-2</v>
      </c>
      <c r="L479" s="3">
        <f t="shared" ref="L479" si="1744">AVERAGE(F323,F375,F427)</f>
        <v>829.33333333333337</v>
      </c>
    </row>
    <row r="480" spans="1:12" ht="14.25" x14ac:dyDescent="0.2">
      <c r="A480" s="21">
        <f t="shared" si="1593"/>
        <v>41951</v>
      </c>
      <c r="B480" s="3">
        <f>2+110+290</f>
        <v>402</v>
      </c>
      <c r="C480" s="3">
        <f>2+44</f>
        <v>46</v>
      </c>
      <c r="D480" s="3">
        <f>1+43+172</f>
        <v>216</v>
      </c>
      <c r="E480" s="30">
        <f t="shared" si="1714"/>
        <v>664</v>
      </c>
      <c r="F480" s="30">
        <v>976</v>
      </c>
      <c r="G480" s="3">
        <f t="shared" ref="G480" si="1745">F480-E480</f>
        <v>312</v>
      </c>
      <c r="H480" s="49">
        <f t="shared" ref="H480" si="1746">(F480-F479)/F479</f>
        <v>0.10657596371882086</v>
      </c>
      <c r="I480" s="57">
        <f t="shared" ref="I480" si="1747">(E480-E479)/E479</f>
        <v>0.23880597014925373</v>
      </c>
      <c r="J480" s="30">
        <f t="shared" ref="J480" si="1748">E480-E479</f>
        <v>128</v>
      </c>
      <c r="K480" s="13">
        <f t="shared" ref="K480" si="1749">(F480-F428)/F428</f>
        <v>4.4967880085653104E-2</v>
      </c>
      <c r="L480" s="3">
        <f t="shared" ref="L480" si="1750">AVERAGE(F324,F376,F428)</f>
        <v>843</v>
      </c>
    </row>
    <row r="481" spans="1:12" ht="14.25" x14ac:dyDescent="0.2">
      <c r="A481" s="21">
        <f t="shared" si="1593"/>
        <v>41958</v>
      </c>
      <c r="B481" s="3">
        <f>164+1+201</f>
        <v>366</v>
      </c>
      <c r="C481" s="3">
        <f>1+0+69</f>
        <v>70</v>
      </c>
      <c r="D481" s="3">
        <f>1+48+189</f>
        <v>238</v>
      </c>
      <c r="E481" s="30">
        <f t="shared" si="1714"/>
        <v>674</v>
      </c>
      <c r="F481" s="30">
        <v>1019</v>
      </c>
      <c r="G481" s="3">
        <f t="shared" ref="G481" si="1751">F481-E481</f>
        <v>345</v>
      </c>
      <c r="H481" s="49">
        <f t="shared" ref="H481" si="1752">(F481-F480)/F480</f>
        <v>4.4057377049180328E-2</v>
      </c>
      <c r="I481" s="57">
        <f t="shared" ref="I481" si="1753">(E481-E480)/E480</f>
        <v>1.5060240963855422E-2</v>
      </c>
      <c r="J481" s="30">
        <f t="shared" ref="J481" si="1754">E481-E480</f>
        <v>10</v>
      </c>
      <c r="K481" s="13">
        <f t="shared" ref="K481" si="1755">(F481-F429)/F429</f>
        <v>7.6029567053854274E-2</v>
      </c>
      <c r="L481" s="3">
        <f t="shared" ref="L481" si="1756">AVERAGE(F325,F377,F429)</f>
        <v>897.33333333333337</v>
      </c>
    </row>
    <row r="482" spans="1:12" ht="14.25" x14ac:dyDescent="0.2">
      <c r="A482" s="21">
        <f t="shared" si="1593"/>
        <v>41965</v>
      </c>
      <c r="B482" s="3">
        <f>1+208+1+0+134</f>
        <v>344</v>
      </c>
      <c r="C482" s="3">
        <f>31</f>
        <v>31</v>
      </c>
      <c r="D482" s="3">
        <f>65+169</f>
        <v>234</v>
      </c>
      <c r="E482" s="30">
        <f t="shared" si="1714"/>
        <v>609</v>
      </c>
      <c r="F482" s="30">
        <v>948</v>
      </c>
      <c r="G482" s="3">
        <f t="shared" ref="G482" si="1757">F482-E482</f>
        <v>339</v>
      </c>
      <c r="H482" s="49">
        <f t="shared" ref="H482" si="1758">(F482-F481)/F481</f>
        <v>-6.9676153091265944E-2</v>
      </c>
      <c r="I482" s="57">
        <f t="shared" ref="I482" si="1759">(E482-E481)/E481</f>
        <v>-9.6439169139465875E-2</v>
      </c>
      <c r="J482" s="30">
        <f t="shared" ref="J482" si="1760">E482-E481</f>
        <v>-65</v>
      </c>
      <c r="K482" s="13">
        <f t="shared" ref="K482" si="1761">(F482-F430)/F430</f>
        <v>4.5203969128996692E-2</v>
      </c>
      <c r="L482" s="3">
        <f t="shared" ref="L482" si="1762">AVERAGE(F326,F378,F430)</f>
        <v>743</v>
      </c>
    </row>
    <row r="483" spans="1:12" ht="14.25" x14ac:dyDescent="0.2">
      <c r="A483" s="21">
        <f t="shared" si="1593"/>
        <v>41972</v>
      </c>
      <c r="B483" s="3">
        <f>7+176+173</f>
        <v>356</v>
      </c>
      <c r="C483" s="3">
        <f>3+1+69</f>
        <v>73</v>
      </c>
      <c r="D483" s="3">
        <f>53+114</f>
        <v>167</v>
      </c>
      <c r="E483" s="30">
        <f t="shared" si="1714"/>
        <v>596</v>
      </c>
      <c r="F483" s="30">
        <v>915</v>
      </c>
      <c r="G483" s="3">
        <f t="shared" ref="G483" si="1763">F483-E483</f>
        <v>319</v>
      </c>
      <c r="H483" s="49">
        <f t="shared" ref="H483" si="1764">(F483-F482)/F482</f>
        <v>-3.4810126582278479E-2</v>
      </c>
      <c r="I483" s="57">
        <f t="shared" ref="I483" si="1765">(E483-E482)/E482</f>
        <v>-2.1346469622331693E-2</v>
      </c>
      <c r="J483" s="30">
        <f t="shared" ref="J483" si="1766">E483-E482</f>
        <v>-13</v>
      </c>
      <c r="K483" s="13">
        <f t="shared" ref="K483" si="1767">(F483-F431)/F431</f>
        <v>9.0584028605482717E-2</v>
      </c>
      <c r="L483" s="3">
        <f t="shared" ref="L483" si="1768">AVERAGE(F327,F379,F431)</f>
        <v>729.33333333333337</v>
      </c>
    </row>
    <row r="484" spans="1:12" ht="14.25" x14ac:dyDescent="0.2">
      <c r="A484" s="21">
        <f t="shared" si="1593"/>
        <v>41979</v>
      </c>
      <c r="B484" s="3">
        <f>1+143+1+245</f>
        <v>390</v>
      </c>
      <c r="C484" s="3">
        <f>31</f>
        <v>31</v>
      </c>
      <c r="D484" s="3">
        <f>2+53+75</f>
        <v>130</v>
      </c>
      <c r="E484" s="30">
        <f t="shared" si="1714"/>
        <v>551</v>
      </c>
      <c r="F484" s="30">
        <v>777</v>
      </c>
      <c r="G484" s="3">
        <f t="shared" ref="G484" si="1769">F484-E484</f>
        <v>226</v>
      </c>
      <c r="H484" s="49">
        <f t="shared" ref="H484" si="1770">(F484-F483)/F483</f>
        <v>-0.15081967213114755</v>
      </c>
      <c r="I484" s="57">
        <f t="shared" ref="I484" si="1771">(E484-E483)/E483</f>
        <v>-7.5503355704697989E-2</v>
      </c>
      <c r="J484" s="30">
        <f t="shared" ref="J484" si="1772">E484-E483</f>
        <v>-45</v>
      </c>
      <c r="K484" s="13">
        <f t="shared" ref="K484" si="1773">(F484-F432)/F432</f>
        <v>-0.15174672489082969</v>
      </c>
      <c r="L484" s="3">
        <f t="shared" ref="L484" si="1774">AVERAGE(F328,F380,F432)</f>
        <v>740</v>
      </c>
    </row>
    <row r="485" spans="1:12" ht="14.25" x14ac:dyDescent="0.2">
      <c r="A485" s="21">
        <f t="shared" si="1593"/>
        <v>41986</v>
      </c>
      <c r="B485" s="3">
        <f>3+197+8+204</f>
        <v>412</v>
      </c>
      <c r="C485" s="3">
        <f>7+62</f>
        <v>69</v>
      </c>
      <c r="D485" s="3">
        <f>2+96+3+83</f>
        <v>184</v>
      </c>
      <c r="E485" s="30">
        <f t="shared" si="1714"/>
        <v>665</v>
      </c>
      <c r="F485" s="30">
        <v>967</v>
      </c>
      <c r="G485" s="3">
        <f t="shared" ref="G485" si="1775">F485-E485</f>
        <v>302</v>
      </c>
      <c r="H485" s="49">
        <f t="shared" ref="H485" si="1776">(F485-F484)/F484</f>
        <v>0.24453024453024452</v>
      </c>
      <c r="I485" s="57">
        <f t="shared" ref="I485" si="1777">(E485-E484)/E484</f>
        <v>0.20689655172413793</v>
      </c>
      <c r="J485" s="30">
        <f t="shared" ref="J485" si="1778">E485-E484</f>
        <v>114</v>
      </c>
      <c r="K485" s="13">
        <f t="shared" ref="K485" si="1779">(F485-F433)/F433</f>
        <v>0.21177944862155387</v>
      </c>
      <c r="L485" s="3">
        <f t="shared" ref="L485" si="1780">AVERAGE(F329,F381,F433)</f>
        <v>696.33333333333337</v>
      </c>
    </row>
    <row r="486" spans="1:12" ht="14.25" x14ac:dyDescent="0.2">
      <c r="A486" s="21">
        <f t="shared" si="1593"/>
        <v>41993</v>
      </c>
      <c r="B486" s="3">
        <f>185+2+117</f>
        <v>304</v>
      </c>
      <c r="C486" s="3">
        <f>6+1+19</f>
        <v>26</v>
      </c>
      <c r="D486" s="3">
        <f>4+55+5+148</f>
        <v>212</v>
      </c>
      <c r="E486" s="30">
        <f t="shared" si="1714"/>
        <v>542</v>
      </c>
      <c r="F486" s="30">
        <v>926</v>
      </c>
      <c r="G486" s="3">
        <f t="shared" ref="G486" si="1781">F486-E486</f>
        <v>384</v>
      </c>
      <c r="H486" s="49">
        <f t="shared" ref="H486" si="1782">(F486-F485)/F485</f>
        <v>-4.2399172699069287E-2</v>
      </c>
      <c r="I486" s="57">
        <f t="shared" ref="I486" si="1783">(E486-E485)/E485</f>
        <v>-0.18496240601503761</v>
      </c>
      <c r="J486" s="30">
        <f t="shared" ref="J486" si="1784">E486-E485</f>
        <v>-123</v>
      </c>
      <c r="K486" s="13">
        <f t="shared" ref="K486" si="1785">(F486-F434)/F434</f>
        <v>6.3145809414466125E-2</v>
      </c>
      <c r="L486" s="3">
        <f t="shared" ref="L486" si="1786">AVERAGE(F330,F382,F434)</f>
        <v>752.33333333333337</v>
      </c>
    </row>
    <row r="487" spans="1:12" ht="14.25" x14ac:dyDescent="0.2">
      <c r="A487" s="21">
        <f t="shared" si="1593"/>
        <v>42000</v>
      </c>
      <c r="B487" s="3">
        <f>77+6+103</f>
        <v>186</v>
      </c>
      <c r="C487" s="3">
        <f>7+49</f>
        <v>56</v>
      </c>
      <c r="D487" s="3">
        <f>2+52+88</f>
        <v>142</v>
      </c>
      <c r="E487" s="30">
        <f t="shared" si="1714"/>
        <v>384</v>
      </c>
      <c r="F487" s="30">
        <v>479</v>
      </c>
      <c r="G487" s="3">
        <f t="shared" ref="G487" si="1787">F487-E487</f>
        <v>95</v>
      </c>
      <c r="H487" s="49">
        <f t="shared" ref="H487" si="1788">(F487-F486)/F486</f>
        <v>-0.48272138228941686</v>
      </c>
      <c r="I487" s="57">
        <f t="shared" ref="I487" si="1789">(E487-E486)/E486</f>
        <v>-0.29151291512915128</v>
      </c>
      <c r="J487" s="30">
        <f t="shared" ref="J487" si="1790">E487-E486</f>
        <v>-158</v>
      </c>
      <c r="K487" s="13">
        <f t="shared" ref="K487" si="1791">(F487-F435)/F435</f>
        <v>-0.28614008941877794</v>
      </c>
      <c r="L487" s="3">
        <f t="shared" ref="L487" si="1792">AVERAGE(F331,F383,F435)</f>
        <v>607.66666666666663</v>
      </c>
    </row>
    <row r="488" spans="1:12" ht="14.25" x14ac:dyDescent="0.2">
      <c r="A488" s="21">
        <f t="shared" si="1593"/>
        <v>42007</v>
      </c>
      <c r="B488" s="3">
        <f>5+60+73</f>
        <v>138</v>
      </c>
      <c r="C488" s="3">
        <f>9+19</f>
        <v>28</v>
      </c>
      <c r="D488" s="3">
        <f>0+37+86</f>
        <v>123</v>
      </c>
      <c r="E488" s="30">
        <f t="shared" si="1714"/>
        <v>289</v>
      </c>
      <c r="F488" s="30">
        <v>618</v>
      </c>
      <c r="G488" s="3">
        <f t="shared" ref="G488" si="1793">F488-E488</f>
        <v>329</v>
      </c>
      <c r="H488" s="49">
        <f t="shared" ref="H488" si="1794">(F488-F487)/F487</f>
        <v>0.29018789144050106</v>
      </c>
      <c r="I488" s="57">
        <f t="shared" ref="I488" si="1795">(E488-E487)/E487</f>
        <v>-0.24739583333333334</v>
      </c>
      <c r="J488" s="30">
        <f t="shared" ref="J488" si="1796">E488-E487</f>
        <v>-95</v>
      </c>
      <c r="K488" s="13">
        <f t="shared" ref="K488" si="1797">(F488-F436)/F436</f>
        <v>-0.24078624078624078</v>
      </c>
      <c r="L488" s="3">
        <f t="shared" ref="L488" si="1798">AVERAGE(F332,F384,F436)</f>
        <v>640.66666666666663</v>
      </c>
    </row>
    <row r="489" spans="1:12" ht="14.25" x14ac:dyDescent="0.2">
      <c r="A489" s="21">
        <f t="shared" si="1593"/>
        <v>42014</v>
      </c>
      <c r="B489" s="3">
        <f>4+46+0+1+74</f>
        <v>125</v>
      </c>
      <c r="C489" s="3">
        <f>7+1+15</f>
        <v>23</v>
      </c>
      <c r="D489" s="3">
        <f>1+106+0+96</f>
        <v>203</v>
      </c>
      <c r="E489" s="30">
        <f t="shared" si="1714"/>
        <v>351</v>
      </c>
      <c r="F489" s="30">
        <v>970</v>
      </c>
      <c r="G489" s="3">
        <f t="shared" ref="G489" si="1799">F489-E489</f>
        <v>619</v>
      </c>
      <c r="H489" s="49">
        <f t="shared" ref="H489" si="1800">(F489-F488)/F488</f>
        <v>0.56957928802588997</v>
      </c>
      <c r="I489" s="57">
        <f t="shared" ref="I489" si="1801">(E489-E488)/E488</f>
        <v>0.21453287197231835</v>
      </c>
      <c r="J489" s="30">
        <f t="shared" ref="J489" si="1802">E489-E488</f>
        <v>62</v>
      </c>
      <c r="K489" s="13">
        <f t="shared" ref="K489" si="1803">(F489-F437)/F437</f>
        <v>0.29506008010680906</v>
      </c>
      <c r="L489" s="3">
        <f t="shared" ref="L489" si="1804">AVERAGE(F333,F385,F437)</f>
        <v>699.33333333333337</v>
      </c>
    </row>
    <row r="490" spans="1:12" ht="14.25" x14ac:dyDescent="0.2">
      <c r="A490" s="21">
        <f t="shared" si="1593"/>
        <v>42021</v>
      </c>
      <c r="B490" s="3">
        <v>67</v>
      </c>
      <c r="C490" s="3">
        <v>19</v>
      </c>
      <c r="D490" s="3">
        <v>197</v>
      </c>
      <c r="E490" s="30">
        <f t="shared" ref="E490" si="1805">SUM(B490:D490)</f>
        <v>283</v>
      </c>
      <c r="F490" s="30">
        <v>851</v>
      </c>
      <c r="G490" s="3">
        <f t="shared" ref="G490" si="1806">F490-E490</f>
        <v>568</v>
      </c>
      <c r="H490" s="49">
        <f t="shared" ref="H490" si="1807">(F490-F489)/F489</f>
        <v>-0.12268041237113401</v>
      </c>
      <c r="I490" s="57">
        <f t="shared" ref="I490" si="1808">(E490-E489)/E489</f>
        <v>-0.19373219373219372</v>
      </c>
      <c r="J490" s="30">
        <f t="shared" ref="J490" si="1809">E490-E489</f>
        <v>-68</v>
      </c>
      <c r="K490" s="13">
        <f t="shared" ref="K490" si="1810">(F490-F438)/F438</f>
        <v>-4.1666666666666664E-2</v>
      </c>
      <c r="L490" s="3">
        <f t="shared" ref="L490" si="1811">AVERAGE(F334,F386,F438)</f>
        <v>744</v>
      </c>
    </row>
    <row r="491" spans="1:12" ht="14.25" x14ac:dyDescent="0.2">
      <c r="A491" s="21">
        <f t="shared" si="1593"/>
        <v>42028</v>
      </c>
      <c r="B491" s="3">
        <v>97</v>
      </c>
      <c r="C491" s="3">
        <v>36</v>
      </c>
      <c r="D491" s="3">
        <v>204</v>
      </c>
      <c r="E491" s="30">
        <f t="shared" ref="E491" si="1812">SUM(B491:D491)</f>
        <v>337</v>
      </c>
      <c r="F491" s="30">
        <v>800</v>
      </c>
      <c r="G491" s="3">
        <f t="shared" ref="G491" si="1813">F491-E491</f>
        <v>463</v>
      </c>
      <c r="H491" s="49">
        <f t="shared" ref="H491" si="1814">(F491-F490)/F490</f>
        <v>-5.9929494712103411E-2</v>
      </c>
      <c r="I491" s="57">
        <f t="shared" ref="I491" si="1815">(E491-E490)/E490</f>
        <v>0.19081272084805653</v>
      </c>
      <c r="J491" s="30">
        <f t="shared" ref="J491" si="1816">E491-E490</f>
        <v>54</v>
      </c>
      <c r="K491" s="13">
        <f t="shared" ref="K491" si="1817">(F491-F439)/F439</f>
        <v>3.7613488975356678E-2</v>
      </c>
      <c r="L491" s="3">
        <f t="shared" ref="L491" si="1818">AVERAGE(F335,F387,F439)</f>
        <v>735.66666666666663</v>
      </c>
    </row>
    <row r="492" spans="1:12" ht="14.25" x14ac:dyDescent="0.2">
      <c r="A492" s="21">
        <f t="shared" si="1593"/>
        <v>42035</v>
      </c>
      <c r="B492" s="3">
        <v>160</v>
      </c>
      <c r="C492" s="3">
        <v>32</v>
      </c>
      <c r="D492" s="3">
        <v>240</v>
      </c>
      <c r="E492" s="30">
        <f t="shared" ref="E492" si="1819">SUM(B492:D492)</f>
        <v>432</v>
      </c>
      <c r="F492" s="30">
        <v>787</v>
      </c>
      <c r="G492" s="3">
        <f t="shared" ref="G492" si="1820">F492-E492</f>
        <v>355</v>
      </c>
      <c r="H492" s="49">
        <f t="shared" ref="H492" si="1821">(F492-F491)/F491</f>
        <v>-1.6250000000000001E-2</v>
      </c>
      <c r="I492" s="57">
        <f t="shared" ref="I492" si="1822">(E492-E491)/E491</f>
        <v>0.28189910979228489</v>
      </c>
      <c r="J492" s="30">
        <f t="shared" ref="J492" si="1823">E492-E491</f>
        <v>95</v>
      </c>
      <c r="K492" s="13">
        <f t="shared" ref="K492" si="1824">(F492-F440)/F440</f>
        <v>0.15395894428152493</v>
      </c>
      <c r="L492" s="3">
        <f t="shared" ref="L492" si="1825">AVERAGE(F336,F388,F440)</f>
        <v>617.33333333333337</v>
      </c>
    </row>
    <row r="493" spans="1:12" ht="14.25" x14ac:dyDescent="0.2">
      <c r="A493" s="21">
        <f t="shared" si="1593"/>
        <v>42042</v>
      </c>
      <c r="B493" s="3">
        <v>118</v>
      </c>
      <c r="C493" s="3">
        <v>33</v>
      </c>
      <c r="D493" s="3">
        <v>216</v>
      </c>
      <c r="E493" s="30">
        <f t="shared" ref="E493" si="1826">SUM(B493:D493)</f>
        <v>367</v>
      </c>
      <c r="F493" s="30">
        <v>808</v>
      </c>
      <c r="G493" s="3">
        <f t="shared" ref="G493" si="1827">F493-E493</f>
        <v>441</v>
      </c>
      <c r="H493" s="49">
        <f t="shared" ref="H493" si="1828">(F493-F492)/F492</f>
        <v>2.6683608640406607E-2</v>
      </c>
      <c r="I493" s="57">
        <f t="shared" ref="I493" si="1829">(E493-E492)/E492</f>
        <v>-0.15046296296296297</v>
      </c>
      <c r="J493" s="30">
        <f t="shared" ref="J493" si="1830">E493-E492</f>
        <v>-65</v>
      </c>
      <c r="K493" s="13">
        <f t="shared" ref="K493" si="1831">(F493-F441)/F441</f>
        <v>4.3927648578811367E-2</v>
      </c>
      <c r="L493" s="3">
        <f t="shared" ref="L493" si="1832">AVERAGE(F337,F389,F441)</f>
        <v>672.66666666666663</v>
      </c>
    </row>
    <row r="494" spans="1:12" ht="14.25" x14ac:dyDescent="0.2">
      <c r="A494" s="21">
        <f t="shared" si="1593"/>
        <v>42049</v>
      </c>
      <c r="B494" s="3">
        <v>148</v>
      </c>
      <c r="C494" s="3">
        <v>40</v>
      </c>
      <c r="D494" s="3">
        <v>236</v>
      </c>
      <c r="E494" s="30">
        <f t="shared" ref="E494" si="1833">SUM(B494:D494)</f>
        <v>424</v>
      </c>
      <c r="F494" s="30">
        <v>855</v>
      </c>
      <c r="G494" s="3">
        <f t="shared" ref="G494" si="1834">F494-E494</f>
        <v>431</v>
      </c>
      <c r="H494" s="49">
        <f t="shared" ref="H494" si="1835">(F494-F493)/F493</f>
        <v>5.8168316831683171E-2</v>
      </c>
      <c r="I494" s="57">
        <f t="shared" ref="I494" si="1836">(E494-E493)/E493</f>
        <v>0.15531335149863759</v>
      </c>
      <c r="J494" s="30">
        <f t="shared" ref="J494" si="1837">E494-E493</f>
        <v>57</v>
      </c>
      <c r="K494" s="13">
        <f t="shared" ref="K494" si="1838">(F494-F442)/F442</f>
        <v>0.15696887686062247</v>
      </c>
      <c r="L494" s="3">
        <f t="shared" ref="L494" si="1839">AVERAGE(F338,F390,F442)</f>
        <v>612.66666666666663</v>
      </c>
    </row>
    <row r="495" spans="1:12" ht="14.25" x14ac:dyDescent="0.2">
      <c r="A495" s="21">
        <f t="shared" si="1593"/>
        <v>42056</v>
      </c>
      <c r="B495" s="3">
        <v>112</v>
      </c>
      <c r="C495" s="3">
        <v>24</v>
      </c>
      <c r="D495" s="3">
        <v>179</v>
      </c>
      <c r="E495" s="30">
        <f t="shared" ref="E495:E496" si="1840">SUM(B495:D495)</f>
        <v>315</v>
      </c>
      <c r="F495" s="30">
        <v>692</v>
      </c>
      <c r="G495" s="3">
        <f t="shared" ref="G495" si="1841">F495-E495</f>
        <v>377</v>
      </c>
      <c r="H495" s="49">
        <f t="shared" ref="H495" si="1842">(F495-F494)/F494</f>
        <v>-0.19064327485380117</v>
      </c>
      <c r="I495" s="57">
        <f t="shared" ref="I495" si="1843">(E495-E494)/E494</f>
        <v>-0.25707547169811323</v>
      </c>
      <c r="J495" s="30">
        <f t="shared" ref="J495" si="1844">E495-E494</f>
        <v>-109</v>
      </c>
      <c r="K495" s="13">
        <f t="shared" ref="K495" si="1845">(F495-F443)/F443</f>
        <v>-0.15506715506715507</v>
      </c>
      <c r="L495" s="3">
        <f t="shared" ref="L495" si="1846">AVERAGE(F339,F391,F443)</f>
        <v>657</v>
      </c>
    </row>
    <row r="496" spans="1:12" ht="14.25" x14ac:dyDescent="0.2">
      <c r="A496" s="21">
        <f t="shared" si="1593"/>
        <v>42063</v>
      </c>
      <c r="B496" s="3">
        <v>129</v>
      </c>
      <c r="C496" s="3">
        <v>23</v>
      </c>
      <c r="D496" s="3">
        <v>117</v>
      </c>
      <c r="E496" s="3">
        <f t="shared" si="1840"/>
        <v>269</v>
      </c>
      <c r="F496" s="3">
        <v>732</v>
      </c>
      <c r="G496" s="3">
        <f t="shared" ref="G496" si="1847">F496-E496</f>
        <v>463</v>
      </c>
      <c r="H496" s="49">
        <f t="shared" ref="H496" si="1848">(F496-F495)/F495</f>
        <v>5.7803468208092484E-2</v>
      </c>
      <c r="I496" s="57">
        <f t="shared" ref="I496" si="1849">(E496-E495)/E495</f>
        <v>-0.14603174603174604</v>
      </c>
      <c r="J496" s="30">
        <f t="shared" ref="J496" si="1850">E496-E495</f>
        <v>-46</v>
      </c>
      <c r="K496" s="13">
        <f t="shared" ref="K496" si="1851">(F496-F444)/F444</f>
        <v>4.1251778093883355E-2</v>
      </c>
      <c r="L496" s="3">
        <f t="shared" ref="L496" si="1852">AVERAGE(F340,F392,F444)</f>
        <v>599.66666666666663</v>
      </c>
    </row>
    <row r="497" spans="1:12" ht="14.25" x14ac:dyDescent="0.2">
      <c r="A497" s="21">
        <f t="shared" si="1593"/>
        <v>42070</v>
      </c>
      <c r="B497" s="3">
        <v>148</v>
      </c>
      <c r="C497" s="3">
        <v>27</v>
      </c>
      <c r="D497" s="3">
        <v>144</v>
      </c>
      <c r="E497" s="3">
        <f t="shared" ref="E497" si="1853">SUM(B497:D497)</f>
        <v>319</v>
      </c>
      <c r="F497" s="3">
        <v>521</v>
      </c>
      <c r="G497" s="3">
        <f t="shared" ref="G497" si="1854">F497-E497</f>
        <v>202</v>
      </c>
      <c r="H497" s="49">
        <f t="shared" ref="H497" si="1855">(F497-F496)/F496</f>
        <v>-0.28825136612021857</v>
      </c>
      <c r="I497" s="57">
        <f t="shared" ref="I497" si="1856">(E497-E496)/E496</f>
        <v>0.18587360594795538</v>
      </c>
      <c r="J497" s="30">
        <f t="shared" ref="J497" si="1857">E497-E496</f>
        <v>50</v>
      </c>
      <c r="K497" s="13">
        <f t="shared" ref="K497" si="1858">(F497-F445)/F445</f>
        <v>-0.24602026049204051</v>
      </c>
      <c r="L497" s="3">
        <f t="shared" ref="L497" si="1859">AVERAGE(F341,F393,F445)</f>
        <v>521.33333333333337</v>
      </c>
    </row>
    <row r="498" spans="1:12" ht="14.25" x14ac:dyDescent="0.2">
      <c r="A498" s="21">
        <f t="shared" si="1593"/>
        <v>42077</v>
      </c>
      <c r="B498" s="3">
        <v>150</v>
      </c>
      <c r="C498" s="3">
        <v>32</v>
      </c>
      <c r="D498" s="3">
        <v>58</v>
      </c>
      <c r="E498" s="3">
        <f t="shared" ref="E498" si="1860">SUM(B498:D498)</f>
        <v>240</v>
      </c>
      <c r="F498" s="3">
        <v>537</v>
      </c>
      <c r="G498" s="3">
        <f t="shared" ref="G498" si="1861">F498-E498</f>
        <v>297</v>
      </c>
      <c r="H498" s="49">
        <f t="shared" ref="H498" si="1862">(F498-F497)/F497</f>
        <v>3.0710172744721688E-2</v>
      </c>
      <c r="I498" s="57">
        <f t="shared" ref="I498" si="1863">(E498-E497)/E497</f>
        <v>-0.2476489028213166</v>
      </c>
      <c r="J498" s="30">
        <f t="shared" ref="J498" si="1864">E498-E497</f>
        <v>-79</v>
      </c>
      <c r="K498" s="13">
        <f t="shared" ref="K498" si="1865">(F498-F446)/F446</f>
        <v>-0.26033057851239672</v>
      </c>
      <c r="L498" s="3">
        <f t="shared" ref="L498" si="1866">AVERAGE(F342,F394,F446)</f>
        <v>543.66666666666663</v>
      </c>
    </row>
    <row r="499" spans="1:12" ht="14.25" x14ac:dyDescent="0.2">
      <c r="A499" s="21">
        <f t="shared" si="1593"/>
        <v>42084</v>
      </c>
      <c r="B499" s="3">
        <v>219</v>
      </c>
      <c r="C499" s="3">
        <v>34</v>
      </c>
      <c r="D499" s="3">
        <v>97</v>
      </c>
      <c r="E499" s="3">
        <f t="shared" ref="E499" si="1867">SUM(B499:D499)</f>
        <v>350</v>
      </c>
      <c r="F499" s="3">
        <v>477</v>
      </c>
      <c r="G499" s="3">
        <f t="shared" ref="G499" si="1868">F499-E499</f>
        <v>127</v>
      </c>
      <c r="H499" s="49">
        <f t="shared" ref="H499" si="1869">(F499-F498)/F498</f>
        <v>-0.11173184357541899</v>
      </c>
      <c r="I499" s="57">
        <f t="shared" ref="I499" si="1870">(E499-E498)/E498</f>
        <v>0.45833333333333331</v>
      </c>
      <c r="J499" s="30">
        <f t="shared" ref="J499" si="1871">E499-E498</f>
        <v>110</v>
      </c>
      <c r="K499" s="13">
        <f t="shared" ref="K499" si="1872">(F499-F447)/F447</f>
        <v>-0.36988110964332893</v>
      </c>
      <c r="L499" s="3">
        <f t="shared" ref="L499" si="1873">AVERAGE(F343,F395,F447)</f>
        <v>550</v>
      </c>
    </row>
    <row r="500" spans="1:12" ht="14.25" x14ac:dyDescent="0.2">
      <c r="A500" s="21">
        <f t="shared" si="1593"/>
        <v>42091</v>
      </c>
      <c r="B500" s="3">
        <v>227</v>
      </c>
      <c r="C500" s="3">
        <v>37</v>
      </c>
      <c r="D500" s="3">
        <v>121</v>
      </c>
      <c r="E500" s="3">
        <f t="shared" ref="E500:E501" si="1874">SUM(B500:D500)</f>
        <v>385</v>
      </c>
      <c r="F500" s="3">
        <v>623</v>
      </c>
      <c r="G500" s="3">
        <f t="shared" ref="G500" si="1875">F500-E500</f>
        <v>238</v>
      </c>
      <c r="H500" s="49">
        <f t="shared" ref="H500" si="1876">(F500-F499)/F499</f>
        <v>0.30607966457023061</v>
      </c>
      <c r="I500" s="57">
        <f t="shared" ref="I500" si="1877">(E500-E499)/E499</f>
        <v>0.1</v>
      </c>
      <c r="J500" s="30">
        <f t="shared" ref="J500" si="1878">E500-E499</f>
        <v>35</v>
      </c>
      <c r="K500" s="13">
        <f t="shared" ref="K500" si="1879">(F500-F448)/F448</f>
        <v>-0.18134034165571616</v>
      </c>
      <c r="L500" s="3">
        <f t="shared" ref="L500" si="1880">AVERAGE(F344,F396,F448)</f>
        <v>535.33333333333337</v>
      </c>
    </row>
    <row r="501" spans="1:12" ht="14.25" x14ac:dyDescent="0.2">
      <c r="A501" s="21">
        <f t="shared" si="1593"/>
        <v>42098</v>
      </c>
      <c r="B501" s="3">
        <v>250</v>
      </c>
      <c r="C501" s="3">
        <v>27</v>
      </c>
      <c r="D501" s="3">
        <v>168</v>
      </c>
      <c r="E501" s="3">
        <f t="shared" si="1874"/>
        <v>445</v>
      </c>
      <c r="F501" s="3">
        <v>451</v>
      </c>
      <c r="G501" s="3">
        <f t="shared" ref="G501" si="1881">F501-E501</f>
        <v>6</v>
      </c>
      <c r="H501" s="49">
        <f t="shared" ref="H501" si="1882">(F501-F500)/F500</f>
        <v>-0.27608346709470305</v>
      </c>
      <c r="I501" s="57">
        <f t="shared" ref="I501" si="1883">(E501-E500)/E500</f>
        <v>0.15584415584415584</v>
      </c>
      <c r="J501" s="30">
        <f t="shared" ref="J501" si="1884">E501-E500</f>
        <v>60</v>
      </c>
      <c r="K501" s="13">
        <f t="shared" ref="K501" si="1885">(F501-F449)/F449</f>
        <v>-0.36389280677009872</v>
      </c>
      <c r="L501" s="3">
        <f t="shared" ref="L501" si="1886">AVERAGE(F345,F397,F449)</f>
        <v>505</v>
      </c>
    </row>
    <row r="502" spans="1:12" ht="14.25" x14ac:dyDescent="0.2">
      <c r="A502" s="21">
        <f t="shared" si="1593"/>
        <v>42105</v>
      </c>
      <c r="B502" s="3">
        <v>281</v>
      </c>
      <c r="C502" s="3">
        <v>32</v>
      </c>
      <c r="D502" s="3">
        <v>135</v>
      </c>
      <c r="E502" s="3">
        <f t="shared" ref="E502" si="1887">SUM(B502:D502)</f>
        <v>448</v>
      </c>
      <c r="F502" s="3">
        <v>511</v>
      </c>
      <c r="G502" s="3">
        <f t="shared" ref="G502" si="1888">F502-E502</f>
        <v>63</v>
      </c>
      <c r="H502" s="49">
        <f t="shared" ref="H502" si="1889">(F502-F501)/F501</f>
        <v>0.13303769401330376</v>
      </c>
      <c r="I502" s="57">
        <f t="shared" ref="I502" si="1890">(E502-E501)/E501</f>
        <v>6.7415730337078653E-3</v>
      </c>
      <c r="J502" s="30">
        <f t="shared" ref="J502" si="1891">E502-E501</f>
        <v>3</v>
      </c>
      <c r="K502" s="13">
        <f t="shared" ref="K502" si="1892">(F502-F450)/F450</f>
        <v>-0.24408284023668639</v>
      </c>
      <c r="L502" s="3">
        <f t="shared" ref="L502" si="1893">AVERAGE(F346,F398,F450)</f>
        <v>550.66666666666663</v>
      </c>
    </row>
    <row r="503" spans="1:12" ht="14.25" x14ac:dyDescent="0.2">
      <c r="A503" s="21">
        <f t="shared" si="1593"/>
        <v>42112</v>
      </c>
      <c r="B503" s="3">
        <v>302</v>
      </c>
      <c r="C503" s="3">
        <v>25</v>
      </c>
      <c r="D503" s="3">
        <v>106</v>
      </c>
      <c r="E503" s="3">
        <f t="shared" ref="E503" si="1894">SUM(B503:D503)</f>
        <v>433</v>
      </c>
      <c r="F503" s="3">
        <v>436</v>
      </c>
      <c r="G503" s="3">
        <f t="shared" ref="G503" si="1895">F503-E503</f>
        <v>3</v>
      </c>
      <c r="H503" s="49">
        <f t="shared" ref="H503" si="1896">(F503-F502)/F502</f>
        <v>-0.14677103718199608</v>
      </c>
      <c r="I503" s="57">
        <f t="shared" ref="I503" si="1897">(E503-E502)/E502</f>
        <v>-3.3482142857142856E-2</v>
      </c>
      <c r="J503" s="30">
        <f t="shared" ref="J503" si="1898">E503-E502</f>
        <v>-15</v>
      </c>
      <c r="K503" s="13">
        <f t="shared" ref="K503" si="1899">(F503-F451)/F451</f>
        <v>-0.3001605136436597</v>
      </c>
      <c r="L503" s="3">
        <f t="shared" ref="L503" si="1900">AVERAGE(F347,F399,F451)</f>
        <v>492.33333333333331</v>
      </c>
    </row>
    <row r="504" spans="1:12" ht="14.25" x14ac:dyDescent="0.2">
      <c r="A504" s="21">
        <f t="shared" si="1593"/>
        <v>42119</v>
      </c>
      <c r="B504" s="3">
        <v>268</v>
      </c>
      <c r="C504" s="3">
        <v>26</v>
      </c>
      <c r="D504" s="3">
        <v>137</v>
      </c>
      <c r="E504" s="3">
        <f t="shared" ref="E504" si="1901">SUM(B504:D504)</f>
        <v>431</v>
      </c>
      <c r="F504" s="3">
        <v>655</v>
      </c>
      <c r="G504" s="3">
        <f t="shared" ref="G504" si="1902">F504-E504</f>
        <v>224</v>
      </c>
      <c r="H504" s="49">
        <f t="shared" ref="H504" si="1903">(F504-F503)/F503</f>
        <v>0.50229357798165142</v>
      </c>
      <c r="I504" s="57">
        <f t="shared" ref="I504" si="1904">(E504-E503)/E503</f>
        <v>-4.6189376443418013E-3</v>
      </c>
      <c r="J504" s="30">
        <f t="shared" ref="J504" si="1905">E504-E503</f>
        <v>-2</v>
      </c>
      <c r="K504" s="13">
        <f t="shared" ref="K504" si="1906">(F504-F452)/F452</f>
        <v>0.20404411764705882</v>
      </c>
      <c r="L504" s="3">
        <f t="shared" ref="L504" si="1907">AVERAGE(F348,F400,F452)</f>
        <v>378</v>
      </c>
    </row>
    <row r="505" spans="1:12" ht="14.25" x14ac:dyDescent="0.2">
      <c r="A505" s="21">
        <f t="shared" si="1593"/>
        <v>42126</v>
      </c>
      <c r="B505" s="3">
        <v>352</v>
      </c>
      <c r="C505" s="3">
        <v>30</v>
      </c>
      <c r="D505" s="3">
        <v>158</v>
      </c>
      <c r="E505" s="3">
        <f t="shared" ref="E505" si="1908">SUM(B505:D505)</f>
        <v>540</v>
      </c>
      <c r="F505" s="3">
        <v>582</v>
      </c>
      <c r="G505" s="3">
        <f t="shared" ref="G505" si="1909">F505-E505</f>
        <v>42</v>
      </c>
      <c r="H505" s="49">
        <f t="shared" ref="H505" si="1910">(F505-F504)/F504</f>
        <v>-0.11145038167938931</v>
      </c>
      <c r="I505" s="57">
        <f t="shared" ref="I505" si="1911">(E505-E504)/E504</f>
        <v>0.25290023201856149</v>
      </c>
      <c r="J505" s="30">
        <f t="shared" ref="J505" si="1912">E505-E504</f>
        <v>109</v>
      </c>
      <c r="K505" s="13">
        <f t="shared" ref="K505" si="1913">(F505-F453)/F453</f>
        <v>-5.0570962479608482E-2</v>
      </c>
      <c r="L505" s="3">
        <f t="shared" ref="L505" si="1914">AVERAGE(F349,F401,F453)</f>
        <v>421</v>
      </c>
    </row>
    <row r="506" spans="1:12" ht="14.25" x14ac:dyDescent="0.2">
      <c r="A506" s="21">
        <f t="shared" si="1593"/>
        <v>42133</v>
      </c>
      <c r="B506" s="3">
        <v>345</v>
      </c>
      <c r="C506" s="3">
        <v>21</v>
      </c>
      <c r="D506" s="3">
        <v>115</v>
      </c>
      <c r="E506" s="3">
        <f t="shared" ref="E506" si="1915">SUM(B506:D506)</f>
        <v>481</v>
      </c>
      <c r="F506" s="3">
        <v>676</v>
      </c>
      <c r="G506" s="3">
        <f t="shared" ref="G506" si="1916">F506-E506</f>
        <v>195</v>
      </c>
      <c r="H506" s="49">
        <f t="shared" ref="H506" si="1917">(F506-F505)/F505</f>
        <v>0.16151202749140894</v>
      </c>
      <c r="I506" s="57">
        <f t="shared" ref="I506" si="1918">(E506-E505)/E505</f>
        <v>-0.10925925925925926</v>
      </c>
      <c r="J506" s="30">
        <f t="shared" ref="J506" si="1919">E506-E505</f>
        <v>-59</v>
      </c>
      <c r="K506" s="13">
        <f t="shared" ref="K506" si="1920">(F506-F454)/F454</f>
        <v>0.37398373983739835</v>
      </c>
      <c r="L506" s="3">
        <f t="shared" ref="L506" si="1921">AVERAGE(F350,F402,F454)</f>
        <v>448.33333333333331</v>
      </c>
    </row>
    <row r="507" spans="1:12" ht="14.25" x14ac:dyDescent="0.2">
      <c r="A507" s="21">
        <f t="shared" si="1593"/>
        <v>42140</v>
      </c>
      <c r="B507" s="3">
        <v>393</v>
      </c>
      <c r="C507" s="3">
        <v>0</v>
      </c>
      <c r="D507" s="3">
        <v>98</v>
      </c>
      <c r="E507" s="3">
        <f t="shared" ref="E507" si="1922">SUM(B507:D507)</f>
        <v>491</v>
      </c>
      <c r="F507" s="3">
        <v>674</v>
      </c>
      <c r="G507" s="3">
        <f t="shared" ref="G507" si="1923">F507-E507</f>
        <v>183</v>
      </c>
      <c r="H507" s="49">
        <f t="shared" ref="H507" si="1924">(F507-F506)/F506</f>
        <v>-2.9585798816568047E-3</v>
      </c>
      <c r="I507" s="57">
        <f t="shared" ref="I507" si="1925">(E507-E506)/E506</f>
        <v>2.0790020790020791E-2</v>
      </c>
      <c r="J507" s="30">
        <f t="shared" ref="J507" si="1926">E507-E506</f>
        <v>10</v>
      </c>
      <c r="K507" s="13">
        <f t="shared" ref="K507" si="1927">(F507-F455)/F455</f>
        <v>0.18871252204585537</v>
      </c>
      <c r="L507" s="3">
        <f t="shared" ref="L507" si="1928">AVERAGE(F351,F403,F455)</f>
        <v>453.33333333333331</v>
      </c>
    </row>
    <row r="508" spans="1:12" ht="14.25" x14ac:dyDescent="0.2">
      <c r="A508" s="21">
        <f t="shared" si="1593"/>
        <v>42147</v>
      </c>
      <c r="B508" s="3">
        <v>416</v>
      </c>
      <c r="C508" s="3">
        <v>0</v>
      </c>
      <c r="D508" s="3">
        <v>122</v>
      </c>
      <c r="E508" s="3">
        <f t="shared" ref="E508" si="1929">SUM(B508:D508)</f>
        <v>538</v>
      </c>
      <c r="F508" s="3">
        <v>608</v>
      </c>
      <c r="G508" s="3">
        <f t="shared" ref="G508" si="1930">F508-E508</f>
        <v>70</v>
      </c>
      <c r="H508" s="49">
        <f t="shared" ref="H508" si="1931">(F508-F507)/F507</f>
        <v>-9.7922848664688422E-2</v>
      </c>
      <c r="I508" s="57">
        <f t="shared" ref="I508" si="1932">(E508-E507)/E507</f>
        <v>9.5723014256619138E-2</v>
      </c>
      <c r="J508" s="30">
        <f t="shared" ref="J508" si="1933">E508-E507</f>
        <v>47</v>
      </c>
      <c r="K508" s="13">
        <f t="shared" ref="K508" si="1934">(F508-F456)/F456</f>
        <v>3.3003300330033004E-3</v>
      </c>
      <c r="L508" s="3">
        <f t="shared" ref="L508" si="1935">AVERAGE(F352,F404,F456)</f>
        <v>472.66666666666669</v>
      </c>
    </row>
    <row r="509" spans="1:12" ht="14.25" x14ac:dyDescent="0.2">
      <c r="A509" s="21">
        <f t="shared" si="1593"/>
        <v>42154</v>
      </c>
      <c r="B509" s="3">
        <v>383</v>
      </c>
      <c r="C509" s="3">
        <v>0</v>
      </c>
      <c r="D509" s="3">
        <v>62</v>
      </c>
      <c r="E509" s="3">
        <f t="shared" ref="E509" si="1936">SUM(B509:D509)</f>
        <v>445</v>
      </c>
      <c r="F509" s="3">
        <v>422</v>
      </c>
      <c r="G509" s="3">
        <f t="shared" ref="G509" si="1937">F509-E509</f>
        <v>-23</v>
      </c>
      <c r="H509" s="49">
        <f t="shared" ref="H509" si="1938">(F509-F508)/F508</f>
        <v>-0.30592105263157893</v>
      </c>
      <c r="I509" s="57">
        <f t="shared" ref="I509" si="1939">(E509-E508)/E508</f>
        <v>-0.17286245353159851</v>
      </c>
      <c r="J509" s="30">
        <f t="shared" ref="J509" si="1940">E509-E508</f>
        <v>-93</v>
      </c>
      <c r="K509" s="13">
        <f t="shared" ref="K509" si="1941">(F509-F457)/F457</f>
        <v>-6.8432671081677707E-2</v>
      </c>
      <c r="L509" s="3">
        <f t="shared" ref="L509" si="1942">AVERAGE(F353,F405,F457)</f>
        <v>360</v>
      </c>
    </row>
    <row r="510" spans="1:12" ht="14.25" x14ac:dyDescent="0.2">
      <c r="A510" s="21">
        <f t="shared" si="1593"/>
        <v>42161</v>
      </c>
      <c r="B510" s="3">
        <v>440</v>
      </c>
      <c r="D510" s="3">
        <v>86</v>
      </c>
      <c r="E510" s="3">
        <f t="shared" ref="E510" si="1943">SUM(B510:D510)</f>
        <v>526</v>
      </c>
      <c r="F510" s="3">
        <v>440</v>
      </c>
      <c r="G510" s="3">
        <f t="shared" ref="G510" si="1944">F510-E510</f>
        <v>-86</v>
      </c>
      <c r="H510" s="49">
        <f t="shared" ref="H510" si="1945">(F510-F509)/F509</f>
        <v>4.2654028436018961E-2</v>
      </c>
      <c r="I510" s="57">
        <f t="shared" ref="I510" si="1946">(E510-E509)/E509</f>
        <v>0.18202247191011237</v>
      </c>
      <c r="J510" s="30">
        <f t="shared" ref="J510" si="1947">E510-E509</f>
        <v>81</v>
      </c>
      <c r="K510" s="13">
        <f t="shared" ref="K510" si="1948">(F510-F458)/F458</f>
        <v>-0.21985815602836881</v>
      </c>
      <c r="L510" s="3">
        <f t="shared" ref="L510" si="1949">AVERAGE(F354,F406,F458)</f>
        <v>373.33333333333331</v>
      </c>
    </row>
    <row r="511" spans="1:12" ht="14.25" x14ac:dyDescent="0.2">
      <c r="A511" s="21">
        <f t="shared" si="1593"/>
        <v>42168</v>
      </c>
      <c r="B511" s="3">
        <v>465</v>
      </c>
      <c r="C511" s="3">
        <v>12</v>
      </c>
      <c r="D511" s="3">
        <v>89</v>
      </c>
      <c r="E511" s="3">
        <f t="shared" ref="E511" si="1950">SUM(B511:D511)</f>
        <v>566</v>
      </c>
      <c r="F511" s="3">
        <v>622</v>
      </c>
      <c r="G511" s="3">
        <f t="shared" ref="G511" si="1951">F511-E511</f>
        <v>56</v>
      </c>
      <c r="H511" s="49">
        <f t="shared" ref="H511" si="1952">(F511-F510)/F510</f>
        <v>0.41363636363636364</v>
      </c>
      <c r="I511" s="57">
        <f t="shared" ref="I511" si="1953">(E511-E510)/E510</f>
        <v>7.6045627376425853E-2</v>
      </c>
      <c r="J511" s="30">
        <f t="shared" ref="J511" si="1954">E511-E510</f>
        <v>40</v>
      </c>
      <c r="K511" s="13">
        <f t="shared" ref="K511" si="1955">(F511-F459)/F459</f>
        <v>5.0675675675675678E-2</v>
      </c>
      <c r="L511" s="3">
        <f t="shared" ref="L511" si="1956">AVERAGE(F355,F407,F459)</f>
        <v>425.66666666666669</v>
      </c>
    </row>
    <row r="512" spans="1:12" ht="14.25" x14ac:dyDescent="0.2">
      <c r="A512" s="21">
        <f t="shared" si="1593"/>
        <v>42175</v>
      </c>
      <c r="B512" s="3">
        <v>345</v>
      </c>
      <c r="C512" s="3">
        <v>12</v>
      </c>
      <c r="D512" s="3">
        <v>90</v>
      </c>
      <c r="E512" s="3">
        <f t="shared" ref="E512" si="1957">SUM(B512:D512)</f>
        <v>447</v>
      </c>
      <c r="F512" s="3">
        <v>591</v>
      </c>
      <c r="G512" s="3">
        <f t="shared" ref="G512" si="1958">F512-E512</f>
        <v>144</v>
      </c>
      <c r="H512" s="49">
        <f t="shared" ref="H512" si="1959">(F512-F511)/F511</f>
        <v>-4.9839228295819937E-2</v>
      </c>
      <c r="I512" s="57">
        <f t="shared" ref="I512" si="1960">(E512-E511)/E511</f>
        <v>-0.21024734982332155</v>
      </c>
      <c r="J512" s="30">
        <f t="shared" ref="J512" si="1961">E512-E511</f>
        <v>-119</v>
      </c>
      <c r="K512" s="13">
        <f t="shared" ref="K512" si="1962">(F512-F460)/F460</f>
        <v>0.37122969837587005</v>
      </c>
      <c r="L512" s="3">
        <f t="shared" ref="L512" si="1963">AVERAGE(F356,F408,F460)</f>
        <v>375</v>
      </c>
    </row>
    <row r="513" spans="1:12" ht="14.25" x14ac:dyDescent="0.2">
      <c r="A513" s="21">
        <f t="shared" si="1593"/>
        <v>42182</v>
      </c>
      <c r="B513" s="3">
        <v>364</v>
      </c>
      <c r="C513" s="3">
        <v>0</v>
      </c>
      <c r="D513" s="3">
        <v>109</v>
      </c>
      <c r="E513" s="3">
        <f t="shared" ref="E513" si="1964">SUM(B513:D513)</f>
        <v>473</v>
      </c>
      <c r="F513" s="3">
        <v>564</v>
      </c>
      <c r="G513" s="3">
        <f t="shared" ref="G513" si="1965">F513-E513</f>
        <v>91</v>
      </c>
      <c r="H513" s="49">
        <f t="shared" ref="H513" si="1966">(F513-F512)/F512</f>
        <v>-4.5685279187817257E-2</v>
      </c>
      <c r="I513" s="57">
        <f t="shared" ref="I513" si="1967">(E513-E512)/E512</f>
        <v>5.8165548098434001E-2</v>
      </c>
      <c r="J513" s="30">
        <f t="shared" ref="J513" si="1968">E513-E512</f>
        <v>26</v>
      </c>
      <c r="K513" s="13">
        <f t="shared" ref="K513" si="1969">(F513-F461)/F461</f>
        <v>6.2146892655367235E-2</v>
      </c>
      <c r="L513" s="3">
        <f t="shared" ref="L513" si="1970">AVERAGE(F357,F409,F461)</f>
        <v>474.33333333333331</v>
      </c>
    </row>
    <row r="514" spans="1:12" ht="14.25" x14ac:dyDescent="0.2">
      <c r="A514" s="21">
        <f t="shared" si="1593"/>
        <v>42189</v>
      </c>
      <c r="B514" s="3">
        <v>118</v>
      </c>
      <c r="C514" s="3">
        <v>7</v>
      </c>
      <c r="D514" s="3">
        <v>157</v>
      </c>
      <c r="E514" s="3">
        <f t="shared" ref="E514" si="1971">SUM(B514:D514)</f>
        <v>282</v>
      </c>
      <c r="F514" s="3">
        <v>515</v>
      </c>
      <c r="G514" s="3">
        <f t="shared" ref="G514" si="1972">F514-E514</f>
        <v>233</v>
      </c>
      <c r="H514" s="49">
        <f t="shared" ref="H514" si="1973">(F514-F513)/F513</f>
        <v>-8.6879432624113476E-2</v>
      </c>
      <c r="I514" s="57">
        <f t="shared" ref="I514" si="1974">(E514-E513)/E513</f>
        <v>-0.40380549682875266</v>
      </c>
      <c r="J514" s="30">
        <f t="shared" ref="J514" si="1975">E514-E513</f>
        <v>-191</v>
      </c>
      <c r="K514" s="13">
        <f t="shared" ref="K514" si="1976">(F514-F462)/F462</f>
        <v>-0.10434782608695652</v>
      </c>
      <c r="L514" s="3">
        <f t="shared" ref="L514" si="1977">AVERAGE(F358,F410,F462)</f>
        <v>437</v>
      </c>
    </row>
    <row r="515" spans="1:12" ht="14.25" x14ac:dyDescent="0.2">
      <c r="A515" s="21">
        <f t="shared" si="1593"/>
        <v>42196</v>
      </c>
      <c r="B515" s="3">
        <v>362</v>
      </c>
      <c r="C515" s="3">
        <v>11</v>
      </c>
      <c r="D515" s="3">
        <v>80</v>
      </c>
      <c r="E515" s="3">
        <f t="shared" ref="E515" si="1978">SUM(B515:D515)</f>
        <v>453</v>
      </c>
      <c r="F515" s="3">
        <v>611</v>
      </c>
      <c r="G515" s="3">
        <f t="shared" ref="G515" si="1979">F515-E515</f>
        <v>158</v>
      </c>
      <c r="H515" s="49">
        <f t="shared" ref="H515" si="1980">(F515-F514)/F514</f>
        <v>0.18640776699029127</v>
      </c>
      <c r="I515" s="57">
        <f t="shared" ref="I515" si="1981">(E515-E514)/E514</f>
        <v>0.6063829787234043</v>
      </c>
      <c r="J515" s="30">
        <f t="shared" ref="J515" si="1982">E515-E514</f>
        <v>171</v>
      </c>
      <c r="K515" s="13">
        <f t="shared" ref="K515" si="1983">(F515-F463)/F463</f>
        <v>1.8333333333333333E-2</v>
      </c>
      <c r="L515" s="3">
        <f t="shared" ref="L515" si="1984">AVERAGE(F359,F411,F463)</f>
        <v>473.66666666666669</v>
      </c>
    </row>
    <row r="516" spans="1:12" ht="14.25" x14ac:dyDescent="0.2">
      <c r="A516" s="21">
        <f t="shared" si="1593"/>
        <v>42203</v>
      </c>
      <c r="B516" s="3">
        <v>357</v>
      </c>
      <c r="C516" s="3">
        <v>20</v>
      </c>
      <c r="D516" s="3">
        <v>92</v>
      </c>
      <c r="E516" s="3">
        <f t="shared" ref="E516" si="1985">SUM(B516:D516)</f>
        <v>469</v>
      </c>
      <c r="F516" s="3">
        <v>508</v>
      </c>
      <c r="G516" s="3">
        <f t="shared" ref="G516" si="1986">F516-E516</f>
        <v>39</v>
      </c>
      <c r="H516" s="49">
        <f t="shared" ref="H516" si="1987">(F516-F515)/F515</f>
        <v>-0.16857610474631751</v>
      </c>
      <c r="I516" s="57">
        <f t="shared" ref="I516" si="1988">(E516-E515)/E515</f>
        <v>3.5320088300220751E-2</v>
      </c>
      <c r="J516" s="30">
        <f t="shared" ref="J516" si="1989">E516-E515</f>
        <v>16</v>
      </c>
      <c r="K516" s="13">
        <f t="shared" ref="K516" si="1990">(F516-F464)/F464</f>
        <v>0.1019522776572668</v>
      </c>
      <c r="L516" s="3">
        <f t="shared" ref="L516" si="1991">AVERAGE(F360,F412,F464)</f>
        <v>427.33333333333331</v>
      </c>
    </row>
    <row r="517" spans="1:12" ht="14.25" x14ac:dyDescent="0.2">
      <c r="A517" s="21">
        <f t="shared" si="1593"/>
        <v>42210</v>
      </c>
      <c r="B517" s="3">
        <v>419</v>
      </c>
      <c r="C517" s="3">
        <v>13</v>
      </c>
      <c r="D517" s="3">
        <v>93</v>
      </c>
      <c r="E517" s="3">
        <f t="shared" ref="E517" si="1992">SUM(B517:D517)</f>
        <v>525</v>
      </c>
      <c r="F517" s="3">
        <v>556</v>
      </c>
      <c r="G517" s="3">
        <f t="shared" ref="G517" si="1993">F517-E517</f>
        <v>31</v>
      </c>
      <c r="H517" s="49">
        <f t="shared" ref="H517" si="1994">(F517-F516)/F516</f>
        <v>9.4488188976377951E-2</v>
      </c>
      <c r="I517" s="57">
        <f t="shared" ref="I517" si="1995">(E517-E516)/E516</f>
        <v>0.11940298507462686</v>
      </c>
      <c r="J517" s="30">
        <f t="shared" ref="J517" si="1996">E517-E516</f>
        <v>56</v>
      </c>
      <c r="K517" s="13">
        <f t="shared" ref="K517" si="1997">(F517-F465)/F465</f>
        <v>0.36609336609336607</v>
      </c>
      <c r="L517" s="3">
        <f t="shared" ref="L517" si="1998">AVERAGE(F361,F413,F465)</f>
        <v>397.33333333333331</v>
      </c>
    </row>
    <row r="518" spans="1:12" ht="14.25" x14ac:dyDescent="0.2">
      <c r="A518" s="21">
        <f t="shared" si="1593"/>
        <v>42217</v>
      </c>
      <c r="B518" s="3">
        <v>481</v>
      </c>
      <c r="C518" s="3">
        <v>9</v>
      </c>
      <c r="D518" s="3">
        <v>82</v>
      </c>
      <c r="E518" s="3">
        <f t="shared" ref="E518" si="1999">SUM(B518:D518)</f>
        <v>572</v>
      </c>
      <c r="F518" s="3">
        <v>459</v>
      </c>
      <c r="G518" s="3">
        <f t="shared" ref="G518" si="2000">F518-E518</f>
        <v>-113</v>
      </c>
      <c r="H518" s="49">
        <f t="shared" ref="H518" si="2001">(F518-F517)/F517</f>
        <v>-0.17446043165467626</v>
      </c>
      <c r="I518" s="57">
        <f t="shared" ref="I518" si="2002">(E518-E517)/E517</f>
        <v>8.9523809523809519E-2</v>
      </c>
      <c r="J518" s="30">
        <f t="shared" ref="J518" si="2003">E518-E517</f>
        <v>47</v>
      </c>
      <c r="K518" s="13">
        <f t="shared" ref="K518" si="2004">(F518-F466)/F466</f>
        <v>0.15326633165829145</v>
      </c>
      <c r="L518" s="3">
        <f t="shared" ref="L518" si="2005">AVERAGE(F362,F414,F466)</f>
        <v>413</v>
      </c>
    </row>
    <row r="519" spans="1:12" ht="14.25" x14ac:dyDescent="0.2">
      <c r="A519" s="21">
        <f t="shared" si="1593"/>
        <v>42224</v>
      </c>
      <c r="B519" s="3">
        <f>4+399+3+107</f>
        <v>513</v>
      </c>
      <c r="C519" s="3">
        <f>36+5</f>
        <v>41</v>
      </c>
      <c r="D519" s="3">
        <f>30+22+9</f>
        <v>61</v>
      </c>
      <c r="E519" s="3">
        <f t="shared" ref="E519" si="2006">SUM(B519:D519)</f>
        <v>615</v>
      </c>
      <c r="F519" s="3">
        <v>530</v>
      </c>
      <c r="G519" s="3">
        <f t="shared" ref="G519" si="2007">F519-E519</f>
        <v>-85</v>
      </c>
      <c r="H519" s="49">
        <f t="shared" ref="H519" si="2008">(F519-F518)/F518</f>
        <v>0.15468409586056645</v>
      </c>
      <c r="I519" s="57">
        <f t="shared" ref="I519" si="2009">(E519-E518)/E518</f>
        <v>7.5174825174825169E-2</v>
      </c>
      <c r="J519" s="30">
        <f t="shared" ref="J519" si="2010">E519-E518</f>
        <v>43</v>
      </c>
      <c r="K519" s="13">
        <f t="shared" ref="K519" si="2011">(F519-F467)/F467</f>
        <v>0.31513647642679898</v>
      </c>
      <c r="L519" s="3">
        <f t="shared" ref="L519" si="2012">AVERAGE(F363,F415,F467)</f>
        <v>445</v>
      </c>
    </row>
    <row r="520" spans="1:12" ht="14.25" x14ac:dyDescent="0.2">
      <c r="A520" s="21">
        <f t="shared" si="1593"/>
        <v>42231</v>
      </c>
      <c r="B520" s="3">
        <v>474</v>
      </c>
      <c r="C520" s="3">
        <v>47</v>
      </c>
      <c r="D520" s="3">
        <v>85</v>
      </c>
      <c r="E520" s="3">
        <f t="shared" ref="E520:E522" si="2013">SUM(B520:D520)</f>
        <v>606</v>
      </c>
      <c r="F520" s="3">
        <v>748</v>
      </c>
      <c r="G520" s="3">
        <f t="shared" ref="G520" si="2014">F520-E520</f>
        <v>142</v>
      </c>
      <c r="H520" s="49">
        <f t="shared" ref="H520" si="2015">(F520-F519)/F519</f>
        <v>0.41132075471698115</v>
      </c>
      <c r="I520" s="57">
        <f t="shared" ref="I520" si="2016">(E520-E519)/E519</f>
        <v>-1.4634146341463415E-2</v>
      </c>
      <c r="J520" s="30">
        <f t="shared" ref="J520" si="2017">E520-E519</f>
        <v>-9</v>
      </c>
      <c r="K520" s="13">
        <f t="shared" ref="K520" si="2018">(F520-F468)/F468</f>
        <v>0.69230769230769229</v>
      </c>
      <c r="L520" s="3">
        <f t="shared" ref="L520" si="2019">AVERAGE(F364,F416,F468)</f>
        <v>441.33333333333331</v>
      </c>
    </row>
    <row r="521" spans="1:12" ht="14.25" x14ac:dyDescent="0.2">
      <c r="A521" s="21">
        <f t="shared" si="1593"/>
        <v>42238</v>
      </c>
      <c r="B521" s="3">
        <v>347</v>
      </c>
      <c r="C521" s="3">
        <v>6</v>
      </c>
      <c r="D521" s="3">
        <v>58</v>
      </c>
      <c r="E521" s="48">
        <f t="shared" si="2013"/>
        <v>411</v>
      </c>
      <c r="F521" s="48">
        <v>603</v>
      </c>
      <c r="G521" s="3">
        <f t="shared" ref="G521" si="2020">F521-E521</f>
        <v>192</v>
      </c>
      <c r="H521" s="49">
        <f t="shared" ref="H521" si="2021">(F521-F520)/F520</f>
        <v>-0.19385026737967914</v>
      </c>
      <c r="I521" s="57">
        <f t="shared" ref="I521" si="2022">(E521-E520)/E520</f>
        <v>-0.32178217821782179</v>
      </c>
      <c r="J521" s="30">
        <f t="shared" ref="J521" si="2023">E521-E520</f>
        <v>-195</v>
      </c>
      <c r="K521" s="13">
        <f t="shared" ref="K521" si="2024">(F521-F469)/F469</f>
        <v>0.26947368421052631</v>
      </c>
      <c r="L521" s="3">
        <f t="shared" ref="L521" si="2025">AVERAGE(F365,F417,F469)</f>
        <v>468.66666666666669</v>
      </c>
    </row>
    <row r="522" spans="1:12" ht="14.25" x14ac:dyDescent="0.2">
      <c r="A522" s="21">
        <f t="shared" si="1593"/>
        <v>42245</v>
      </c>
      <c r="B522" s="3">
        <v>306</v>
      </c>
      <c r="C522" s="3">
        <v>23</v>
      </c>
      <c r="D522" s="3">
        <v>51</v>
      </c>
      <c r="E522" s="48">
        <f t="shared" si="2013"/>
        <v>380</v>
      </c>
      <c r="F522" s="48">
        <v>496</v>
      </c>
      <c r="G522" s="3">
        <f t="shared" ref="G522" si="2026">F522-E522</f>
        <v>116</v>
      </c>
      <c r="H522" s="49">
        <f t="shared" ref="H522" si="2027">(F522-F521)/F521</f>
        <v>-0.17744610281923714</v>
      </c>
      <c r="I522" s="57">
        <f t="shared" ref="I522" si="2028">(E522-E521)/E521</f>
        <v>-7.5425790754257913E-2</v>
      </c>
      <c r="J522" s="30">
        <f t="shared" ref="J522" si="2029">E522-E521</f>
        <v>-31</v>
      </c>
      <c r="K522" s="13">
        <f t="shared" ref="K522" si="2030">(F522-F470)/F470</f>
        <v>4.6413502109704644E-2</v>
      </c>
      <c r="L522" s="3">
        <f t="shared" ref="L522" si="2031">AVERAGE(F366,F418,F470)</f>
        <v>364.33333333333331</v>
      </c>
    </row>
    <row r="523" spans="1:12" ht="14.25" x14ac:dyDescent="0.2">
      <c r="A523" s="21">
        <f t="shared" si="1593"/>
        <v>42252</v>
      </c>
      <c r="B523" s="3">
        <v>181</v>
      </c>
      <c r="C523" s="3">
        <v>18</v>
      </c>
      <c r="D523" s="3">
        <v>46</v>
      </c>
      <c r="E523" s="3">
        <f t="shared" ref="E523" si="2032">SUM(B523:D523)</f>
        <v>245</v>
      </c>
      <c r="F523" s="3">
        <v>650</v>
      </c>
      <c r="G523" s="3">
        <f t="shared" ref="G523" si="2033">F523-E523</f>
        <v>405</v>
      </c>
      <c r="H523" s="49">
        <f t="shared" ref="H523" si="2034">(F523-F522)/F522</f>
        <v>0.31048387096774194</v>
      </c>
      <c r="I523" s="57">
        <f t="shared" ref="I523" si="2035">(E523-E522)/E522</f>
        <v>-0.35526315789473684</v>
      </c>
      <c r="J523" s="30">
        <f t="shared" ref="J523" si="2036">E523-E522</f>
        <v>-135</v>
      </c>
      <c r="K523" s="13">
        <f t="shared" ref="K523" si="2037">(F523-F471)/F471</f>
        <v>0.12847222222222221</v>
      </c>
      <c r="L523" s="3">
        <f t="shared" ref="L523" si="2038">AVERAGE(F367,F419,F471)</f>
        <v>502.33333333333331</v>
      </c>
    </row>
    <row r="524" spans="1:12" ht="14.25" x14ac:dyDescent="0.2">
      <c r="A524" s="21">
        <f t="shared" si="1593"/>
        <v>42259</v>
      </c>
      <c r="B524" s="3">
        <v>204</v>
      </c>
      <c r="C524" s="3">
        <v>19</v>
      </c>
      <c r="D524" s="3">
        <v>23</v>
      </c>
      <c r="E524" s="3">
        <f t="shared" ref="E524:E525" si="2039">SUM(B524:D524)</f>
        <v>246</v>
      </c>
      <c r="F524" s="3">
        <v>597</v>
      </c>
      <c r="G524" s="3">
        <f t="shared" ref="G524:G525" si="2040">F524-E524</f>
        <v>351</v>
      </c>
      <c r="H524" s="49">
        <f t="shared" ref="H524" si="2041">(F524-F523)/F523</f>
        <v>-8.1538461538461532E-2</v>
      </c>
      <c r="I524" s="57">
        <f t="shared" ref="I524" si="2042">(E524-E523)/E523</f>
        <v>4.0816326530612249E-3</v>
      </c>
      <c r="J524" s="30">
        <f t="shared" ref="J524" si="2043">E524-E523</f>
        <v>1</v>
      </c>
      <c r="K524" s="13">
        <f t="shared" ref="K524" si="2044">(F524-F472)/F472</f>
        <v>-6.4263322884012541E-2</v>
      </c>
      <c r="L524" s="3">
        <f t="shared" ref="L524" si="2045">AVERAGE(F368,F420,F472)</f>
        <v>589.33333333333337</v>
      </c>
    </row>
    <row r="525" spans="1:12" ht="14.25" x14ac:dyDescent="0.2">
      <c r="A525" s="21">
        <f t="shared" si="1593"/>
        <v>42266</v>
      </c>
      <c r="B525" s="3">
        <v>199</v>
      </c>
      <c r="C525" s="3">
        <v>29</v>
      </c>
      <c r="D525" s="3">
        <v>20</v>
      </c>
      <c r="E525" s="3">
        <f t="shared" si="2039"/>
        <v>248</v>
      </c>
      <c r="F525" s="3">
        <v>764</v>
      </c>
      <c r="G525" s="3">
        <f t="shared" si="2040"/>
        <v>516</v>
      </c>
      <c r="H525" s="49">
        <f t="shared" ref="H525" si="2046">(F525-F524)/F524</f>
        <v>0.2797319932998325</v>
      </c>
      <c r="I525" s="57">
        <f t="shared" ref="I525" si="2047">(E525-E524)/E524</f>
        <v>8.130081300813009E-3</v>
      </c>
      <c r="J525" s="30">
        <f t="shared" ref="J525" si="2048">E525-E524</f>
        <v>2</v>
      </c>
      <c r="K525" s="13">
        <f t="shared" ref="K525" si="2049">(F525-F473)/F473</f>
        <v>9.2989985693848351E-2</v>
      </c>
      <c r="L525" s="3">
        <f t="shared" ref="L525" si="2050">AVERAGE(F369,F421,F473)</f>
        <v>674.66666666666663</v>
      </c>
    </row>
    <row r="526" spans="1:12" ht="14.25" x14ac:dyDescent="0.2">
      <c r="A526" s="21">
        <f t="shared" si="1593"/>
        <v>42273</v>
      </c>
      <c r="B526" s="3">
        <v>154</v>
      </c>
      <c r="C526" s="3">
        <v>27</v>
      </c>
      <c r="D526" s="3">
        <v>57</v>
      </c>
      <c r="E526" s="3">
        <f t="shared" ref="E526" si="2051">SUM(B526:D526)</f>
        <v>238</v>
      </c>
      <c r="F526" s="3">
        <v>750</v>
      </c>
      <c r="G526" s="3">
        <f t="shared" ref="G526" si="2052">F526-E526</f>
        <v>512</v>
      </c>
      <c r="H526" s="49">
        <f t="shared" ref="H526" si="2053">(F526-F525)/F525</f>
        <v>-1.832460732984293E-2</v>
      </c>
      <c r="I526" s="57">
        <f t="shared" ref="I526" si="2054">(E526-E525)/E525</f>
        <v>-4.0322580645161289E-2</v>
      </c>
      <c r="J526" s="30">
        <f t="shared" ref="J526" si="2055">E526-E525</f>
        <v>-10</v>
      </c>
      <c r="K526" s="13">
        <f t="shared" ref="K526" si="2056">(F526-F474)/F474</f>
        <v>3.8781163434903045E-2</v>
      </c>
      <c r="L526" s="3">
        <f t="shared" ref="L526" si="2057">AVERAGE(F370,F422,F474)</f>
        <v>696</v>
      </c>
    </row>
    <row r="527" spans="1:12" ht="14.25" x14ac:dyDescent="0.2">
      <c r="A527" s="21">
        <f t="shared" si="1593"/>
        <v>42280</v>
      </c>
      <c r="B527" s="3">
        <v>146</v>
      </c>
      <c r="C527" s="3">
        <v>26</v>
      </c>
      <c r="D527" s="3">
        <v>49</v>
      </c>
      <c r="E527" s="3">
        <f t="shared" ref="E527" si="2058">SUM(B527:D527)</f>
        <v>221</v>
      </c>
      <c r="F527" s="3">
        <v>706</v>
      </c>
      <c r="G527" s="3">
        <f t="shared" ref="G527" si="2059">F527-E527</f>
        <v>485</v>
      </c>
      <c r="H527" s="49">
        <f t="shared" ref="H527" si="2060">(F527-F526)/F526</f>
        <v>-5.8666666666666666E-2</v>
      </c>
      <c r="I527" s="57">
        <f t="shared" ref="I527" si="2061">(E527-E526)/E526</f>
        <v>-7.1428571428571425E-2</v>
      </c>
      <c r="J527" s="30">
        <f t="shared" ref="J527" si="2062">E527-E526</f>
        <v>-17</v>
      </c>
      <c r="K527" s="13">
        <f t="shared" ref="K527" si="2063">(F527-F475)/F475</f>
        <v>-0.12079701120797011</v>
      </c>
      <c r="L527" s="3">
        <f t="shared" ref="L527" si="2064">AVERAGE(F371,F423,F475)</f>
        <v>715</v>
      </c>
    </row>
    <row r="528" spans="1:12" ht="14.25" x14ac:dyDescent="0.2">
      <c r="A528" s="21">
        <f t="shared" si="1593"/>
        <v>42287</v>
      </c>
      <c r="B528" s="3">
        <v>289</v>
      </c>
      <c r="C528" s="3">
        <v>47</v>
      </c>
      <c r="D528" s="3">
        <v>215</v>
      </c>
      <c r="E528" s="3">
        <f t="shared" ref="E528" si="2065">SUM(B528:D528)</f>
        <v>551</v>
      </c>
      <c r="F528" s="3">
        <v>729</v>
      </c>
      <c r="G528" s="3">
        <f t="shared" ref="G528" si="2066">F528-E528</f>
        <v>178</v>
      </c>
      <c r="H528" s="49">
        <f t="shared" ref="H528" si="2067">(F528-F527)/F527</f>
        <v>3.2577903682719546E-2</v>
      </c>
      <c r="I528" s="57">
        <f t="shared" ref="I528" si="2068">(E528-E527)/E527</f>
        <v>1.4932126696832579</v>
      </c>
      <c r="J528" s="30">
        <f t="shared" ref="J528" si="2069">E528-E527</f>
        <v>330</v>
      </c>
      <c r="K528" s="13">
        <f t="shared" ref="K528" si="2070">(F528-F476)/F476</f>
        <v>-0.19801980198019803</v>
      </c>
      <c r="L528" s="3">
        <f t="shared" ref="L528" si="2071">AVERAGE(F372,F424,F476)</f>
        <v>816.66666666666663</v>
      </c>
    </row>
    <row r="529" spans="1:12" ht="14.25" x14ac:dyDescent="0.2">
      <c r="A529" s="21">
        <f t="shared" si="1593"/>
        <v>42294</v>
      </c>
      <c r="B529" s="3">
        <v>262</v>
      </c>
      <c r="C529" s="3">
        <v>56</v>
      </c>
      <c r="D529" s="3">
        <v>154</v>
      </c>
      <c r="E529" s="3">
        <f t="shared" ref="E529" si="2072">SUM(B529:D529)</f>
        <v>472</v>
      </c>
      <c r="F529" s="3">
        <v>893</v>
      </c>
      <c r="G529" s="3">
        <f t="shared" ref="G529" si="2073">F529-E529</f>
        <v>421</v>
      </c>
      <c r="H529" s="49">
        <f t="shared" ref="H529" si="2074">(F529-F528)/F528</f>
        <v>0.22496570644718794</v>
      </c>
      <c r="I529" s="57">
        <f t="shared" ref="I529" si="2075">(E529-E528)/E528</f>
        <v>-0.14337568058076225</v>
      </c>
      <c r="J529" s="30">
        <f t="shared" ref="J529" si="2076">E529-E528</f>
        <v>-79</v>
      </c>
      <c r="K529" s="13">
        <f t="shared" ref="K529" si="2077">(F529-F477)/F477</f>
        <v>-1.7601760176017601E-2</v>
      </c>
      <c r="L529" s="3">
        <f t="shared" ref="L529" si="2078">AVERAGE(F373,F425,F477)</f>
        <v>834.33333333333337</v>
      </c>
    </row>
    <row r="530" spans="1:12" ht="14.25" x14ac:dyDescent="0.2">
      <c r="A530" s="21">
        <f t="shared" si="1593"/>
        <v>42301</v>
      </c>
      <c r="B530" s="3">
        <v>338</v>
      </c>
      <c r="C530" s="3">
        <v>17</v>
      </c>
      <c r="D530" s="3">
        <v>128</v>
      </c>
      <c r="E530" s="3">
        <f t="shared" ref="E530" si="2079">SUM(B530:D530)</f>
        <v>483</v>
      </c>
      <c r="F530" s="3">
        <v>912</v>
      </c>
      <c r="G530" s="3">
        <f t="shared" ref="G530" si="2080">F530-E530</f>
        <v>429</v>
      </c>
      <c r="H530" s="49">
        <f t="shared" ref="H530" si="2081">(F530-F529)/F529</f>
        <v>2.1276595744680851E-2</v>
      </c>
      <c r="I530" s="57">
        <f t="shared" ref="I530" si="2082">(E530-E529)/E529</f>
        <v>2.3305084745762712E-2</v>
      </c>
      <c r="J530" s="30">
        <f t="shared" ref="J530" si="2083">E530-E529</f>
        <v>11</v>
      </c>
      <c r="K530" s="13">
        <f t="shared" ref="K530" si="2084">(F530-F478)/F478</f>
        <v>6.2937062937062943E-2</v>
      </c>
      <c r="L530" s="3">
        <f t="shared" ref="L530" si="2085">AVERAGE(F374,F426,F478)</f>
        <v>838</v>
      </c>
    </row>
    <row r="531" spans="1:12" ht="14.25" x14ac:dyDescent="0.2">
      <c r="A531" s="21">
        <f t="shared" si="1593"/>
        <v>42308</v>
      </c>
      <c r="B531" s="3">
        <v>306</v>
      </c>
      <c r="C531" s="3">
        <v>50</v>
      </c>
      <c r="D531" s="3">
        <v>210</v>
      </c>
      <c r="E531" s="3">
        <f t="shared" ref="E531" si="2086">SUM(B531:D531)</f>
        <v>566</v>
      </c>
      <c r="F531" s="3">
        <v>727</v>
      </c>
      <c r="G531" s="3">
        <f t="shared" ref="G531" si="2087">F531-E531</f>
        <v>161</v>
      </c>
      <c r="H531" s="49">
        <f t="shared" ref="H531" si="2088">(F531-F530)/F530</f>
        <v>-0.20285087719298245</v>
      </c>
      <c r="I531" s="57">
        <f t="shared" ref="I531" si="2089">(E531-E530)/E530</f>
        <v>0.17184265010351968</v>
      </c>
      <c r="J531" s="30">
        <f t="shared" ref="J531" si="2090">E531-E530</f>
        <v>83</v>
      </c>
      <c r="K531" s="13">
        <f t="shared" ref="K531" si="2091">(F531-F479)/F479</f>
        <v>-0.17573696145124718</v>
      </c>
      <c r="L531" s="3">
        <f t="shared" ref="L531" si="2092">AVERAGE(F375,F427,F479)</f>
        <v>883.66666666666663</v>
      </c>
    </row>
    <row r="532" spans="1:12" ht="14.25" x14ac:dyDescent="0.2">
      <c r="A532" s="21">
        <f t="shared" si="1593"/>
        <v>42315</v>
      </c>
      <c r="B532" s="3">
        <v>315</v>
      </c>
      <c r="C532" s="3">
        <v>24</v>
      </c>
      <c r="D532" s="3">
        <v>149</v>
      </c>
      <c r="E532" s="3">
        <f t="shared" ref="E532" si="2093">SUM(B532:D532)</f>
        <v>488</v>
      </c>
      <c r="F532" s="3">
        <v>775</v>
      </c>
      <c r="G532" s="3">
        <f t="shared" ref="G532" si="2094">F532-E532</f>
        <v>287</v>
      </c>
      <c r="H532" s="49">
        <f t="shared" ref="H532" si="2095">(F532-F531)/F531</f>
        <v>6.6024759284731768E-2</v>
      </c>
      <c r="I532" s="57">
        <f t="shared" ref="I532" si="2096">(E532-E531)/E531</f>
        <v>-0.13780918727915195</v>
      </c>
      <c r="J532" s="30">
        <f t="shared" ref="J532" si="2097">E532-E531</f>
        <v>-78</v>
      </c>
      <c r="K532" s="13">
        <f t="shared" ref="K532" si="2098">(F532-F480)/F480</f>
        <v>-0.20594262295081966</v>
      </c>
      <c r="L532" s="3">
        <f t="shared" ref="L532" si="2099">AVERAGE(F376,F428,F480)</f>
        <v>913.66666666666663</v>
      </c>
    </row>
    <row r="533" spans="1:12" ht="14.25" x14ac:dyDescent="0.2">
      <c r="A533" s="21">
        <f t="shared" si="1593"/>
        <v>42322</v>
      </c>
      <c r="B533" s="3">
        <v>289</v>
      </c>
      <c r="C533" s="3">
        <v>50</v>
      </c>
      <c r="D533" s="3">
        <v>150</v>
      </c>
      <c r="E533" s="3">
        <f t="shared" ref="E533" si="2100">SUM(B533:D533)</f>
        <v>489</v>
      </c>
      <c r="F533" s="3">
        <v>1069</v>
      </c>
      <c r="G533" s="3">
        <f t="shared" ref="G533" si="2101">F533-E533</f>
        <v>580</v>
      </c>
      <c r="H533" s="49">
        <f t="shared" ref="H533" si="2102">(F533-F532)/F532</f>
        <v>0.3793548387096774</v>
      </c>
      <c r="I533" s="57">
        <f t="shared" ref="I533" si="2103">(E533-E532)/E532</f>
        <v>2.0491803278688526E-3</v>
      </c>
      <c r="J533" s="30">
        <f t="shared" ref="J533" si="2104">E533-E532</f>
        <v>1</v>
      </c>
      <c r="K533" s="13">
        <f t="shared" ref="K533" si="2105">(F533-F481)/F481</f>
        <v>4.9067713444553483E-2</v>
      </c>
      <c r="L533" s="3">
        <f t="shared" ref="L533" si="2106">AVERAGE(F377,F429,F481)</f>
        <v>957</v>
      </c>
    </row>
    <row r="534" spans="1:12" ht="14.25" x14ac:dyDescent="0.2">
      <c r="A534" s="21">
        <f t="shared" si="1593"/>
        <v>42329</v>
      </c>
      <c r="B534" s="3">
        <v>356</v>
      </c>
      <c r="C534" s="3">
        <v>37</v>
      </c>
      <c r="D534" s="3">
        <v>126</v>
      </c>
      <c r="E534" s="3">
        <f t="shared" ref="E534" si="2107">SUM(B534:D534)</f>
        <v>519</v>
      </c>
      <c r="F534" s="3">
        <v>1020</v>
      </c>
      <c r="G534" s="3">
        <f t="shared" ref="G534" si="2108">F534-E534</f>
        <v>501</v>
      </c>
      <c r="H534" s="49">
        <f t="shared" ref="H534" si="2109">(F534-F533)/F533</f>
        <v>-4.5837231057062673E-2</v>
      </c>
      <c r="I534" s="57">
        <f t="shared" ref="I534" si="2110">(E534-E533)/E533</f>
        <v>6.1349693251533742E-2</v>
      </c>
      <c r="J534" s="30">
        <f t="shared" ref="J534" si="2111">E534-E533</f>
        <v>30</v>
      </c>
      <c r="K534" s="13">
        <f t="shared" ref="K534" si="2112">(F534-F482)/F482</f>
        <v>7.5949367088607597E-2</v>
      </c>
      <c r="L534" s="3">
        <f t="shared" ref="L534" si="2113">AVERAGE(F378,F430,F482)</f>
        <v>836.66666666666663</v>
      </c>
    </row>
    <row r="535" spans="1:12" ht="14.25" x14ac:dyDescent="0.2">
      <c r="A535" s="21">
        <f t="shared" si="1593"/>
        <v>42336</v>
      </c>
      <c r="B535" s="3">
        <v>481</v>
      </c>
      <c r="C535" s="3">
        <v>64</v>
      </c>
      <c r="D535" s="3">
        <v>133</v>
      </c>
      <c r="E535" s="3">
        <f t="shared" ref="E535:E536" si="2114">SUM(B535:D535)</f>
        <v>678</v>
      </c>
      <c r="F535" s="3">
        <v>1051</v>
      </c>
      <c r="G535" s="3">
        <f t="shared" ref="G535" si="2115">F535-E535</f>
        <v>373</v>
      </c>
      <c r="H535" s="49">
        <f t="shared" ref="H535" si="2116">(F535-F534)/F534</f>
        <v>3.0392156862745098E-2</v>
      </c>
      <c r="I535" s="57">
        <f t="shared" ref="I535" si="2117">(E535-E534)/E534</f>
        <v>0.30635838150289019</v>
      </c>
      <c r="J535" s="30">
        <f t="shared" ref="J535" si="2118">E535-E534</f>
        <v>159</v>
      </c>
      <c r="K535" s="13">
        <f t="shared" ref="K535" si="2119">(F535-F483)/F483</f>
        <v>0.14863387978142076</v>
      </c>
      <c r="L535" s="3">
        <f t="shared" ref="L535" si="2120">AVERAGE(F379,F431,F483)</f>
        <v>796.33333333333337</v>
      </c>
    </row>
    <row r="536" spans="1:12" ht="14.25" x14ac:dyDescent="0.2">
      <c r="A536" s="21">
        <f t="shared" si="1593"/>
        <v>42343</v>
      </c>
      <c r="B536" s="3">
        <v>412</v>
      </c>
      <c r="C536" s="3">
        <v>11</v>
      </c>
      <c r="D536" s="3">
        <v>73</v>
      </c>
      <c r="E536" s="3">
        <f t="shared" si="2114"/>
        <v>496</v>
      </c>
      <c r="F536" s="3">
        <v>864</v>
      </c>
      <c r="G536" s="3">
        <f t="shared" ref="G536" si="2121">F536-E536</f>
        <v>368</v>
      </c>
      <c r="H536" s="49">
        <f t="shared" ref="H536" si="2122">(F536-F535)/F535</f>
        <v>-0.17792578496669839</v>
      </c>
      <c r="I536" s="57">
        <f t="shared" ref="I536" si="2123">(E536-E535)/E535</f>
        <v>-0.26843657817109146</v>
      </c>
      <c r="J536" s="30">
        <f t="shared" ref="J536" si="2124">E536-E535</f>
        <v>-182</v>
      </c>
      <c r="K536" s="13">
        <f t="shared" ref="K536" si="2125">(F536-F484)/F484</f>
        <v>0.11196911196911197</v>
      </c>
      <c r="L536" s="3">
        <f t="shared" ref="L536" si="2126">AVERAGE(F380,F432,F484)</f>
        <v>775</v>
      </c>
    </row>
    <row r="537" spans="1:12" ht="14.25" x14ac:dyDescent="0.2">
      <c r="A537" s="21">
        <f t="shared" si="1593"/>
        <v>42350</v>
      </c>
      <c r="B537" s="3">
        <v>378</v>
      </c>
      <c r="C537" s="3">
        <v>37</v>
      </c>
      <c r="D537" s="3">
        <v>113</v>
      </c>
      <c r="E537" s="3">
        <f t="shared" ref="E537" si="2127">SUM(B537:D537)</f>
        <v>528</v>
      </c>
      <c r="F537" s="3">
        <v>957</v>
      </c>
      <c r="G537" s="3">
        <f t="shared" ref="G537" si="2128">F537-E537</f>
        <v>429</v>
      </c>
      <c r="H537" s="49">
        <f t="shared" ref="H537" si="2129">(F537-F536)/F536</f>
        <v>0.1076388888888889</v>
      </c>
      <c r="I537" s="57">
        <f t="shared" ref="I537" si="2130">(E537-E536)/E536</f>
        <v>6.4516129032258063E-2</v>
      </c>
      <c r="J537" s="30">
        <f t="shared" ref="J537" si="2131">E537-E536</f>
        <v>32</v>
      </c>
      <c r="K537" s="13">
        <f t="shared" ref="K537" si="2132">(F537-F485)/F485</f>
        <v>-1.0341261633919338E-2</v>
      </c>
      <c r="L537" s="3">
        <f t="shared" ref="L537" si="2133">AVERAGE(F381,F433,F485)</f>
        <v>799.66666666666663</v>
      </c>
    </row>
    <row r="538" spans="1:12" ht="14.25" x14ac:dyDescent="0.2">
      <c r="A538" s="21">
        <f t="shared" si="1593"/>
        <v>42357</v>
      </c>
      <c r="B538" s="3">
        <v>403</v>
      </c>
      <c r="C538" s="3">
        <v>17</v>
      </c>
      <c r="D538" s="3">
        <v>194</v>
      </c>
      <c r="E538" s="3">
        <f t="shared" ref="E538:E539" si="2134">SUM(B538:D538)</f>
        <v>614</v>
      </c>
      <c r="F538" s="3">
        <v>978</v>
      </c>
      <c r="G538" s="3">
        <f t="shared" ref="G538" si="2135">F538-E538</f>
        <v>364</v>
      </c>
      <c r="H538" s="49">
        <f t="shared" ref="H538" si="2136">(F538-F537)/F537</f>
        <v>2.1943573667711599E-2</v>
      </c>
      <c r="I538" s="57">
        <f t="shared" ref="I538" si="2137">(E538-E537)/E537</f>
        <v>0.16287878787878787</v>
      </c>
      <c r="J538" s="30">
        <f t="shared" ref="J538" si="2138">E538-E537</f>
        <v>86</v>
      </c>
      <c r="K538" s="13">
        <f t="shared" ref="K538" si="2139">(F538-F486)/F486</f>
        <v>5.6155507559395246E-2</v>
      </c>
      <c r="L538" s="3">
        <f t="shared" ref="L538" si="2140">AVERAGE(F382,F434,F486)</f>
        <v>831</v>
      </c>
    </row>
    <row r="539" spans="1:12" ht="14.25" x14ac:dyDescent="0.2">
      <c r="A539" s="21">
        <f t="shared" si="1593"/>
        <v>42364</v>
      </c>
      <c r="B539" s="3">
        <v>317</v>
      </c>
      <c r="C539" s="3">
        <v>47</v>
      </c>
      <c r="D539" s="3">
        <v>149</v>
      </c>
      <c r="E539" s="3">
        <f t="shared" si="2134"/>
        <v>513</v>
      </c>
      <c r="F539" s="3">
        <v>618</v>
      </c>
      <c r="G539" s="3">
        <f t="shared" ref="G539" si="2141">F539-E539</f>
        <v>105</v>
      </c>
      <c r="H539" s="49">
        <f t="shared" ref="H539" si="2142">(F539-F538)/F538</f>
        <v>-0.36809815950920244</v>
      </c>
      <c r="I539" s="57">
        <f t="shared" ref="I539" si="2143">(E539-E538)/E538</f>
        <v>-0.16449511400651465</v>
      </c>
      <c r="J539" s="30">
        <f t="shared" ref="J539" si="2144">E539-E538</f>
        <v>-101</v>
      </c>
      <c r="K539" s="13">
        <f t="shared" ref="K539" si="2145">(F539-F487)/F487</f>
        <v>0.29018789144050106</v>
      </c>
      <c r="L539" s="3">
        <f t="shared" ref="L539" si="2146">AVERAGE(F383,F435,F487)</f>
        <v>583.33333333333337</v>
      </c>
    </row>
    <row r="540" spans="1:12" ht="14.25" x14ac:dyDescent="0.2">
      <c r="A540" s="21">
        <f t="shared" si="1593"/>
        <v>42371</v>
      </c>
      <c r="B540" s="3">
        <v>61</v>
      </c>
      <c r="C540" s="3">
        <v>0</v>
      </c>
      <c r="D540" s="3">
        <v>150</v>
      </c>
      <c r="E540" s="3">
        <f t="shared" ref="E540:E541" si="2147">SUM(B540:D540)</f>
        <v>211</v>
      </c>
      <c r="F540" s="3">
        <v>813</v>
      </c>
      <c r="G540" s="3">
        <f t="shared" ref="G540" si="2148">F540-E540</f>
        <v>602</v>
      </c>
      <c r="H540" s="49">
        <f t="shared" ref="H540" si="2149">(F540-F539)/F539</f>
        <v>0.3155339805825243</v>
      </c>
      <c r="I540" s="57">
        <f t="shared" ref="I540" si="2150">(E540-E539)/E539</f>
        <v>-0.58869395711500971</v>
      </c>
      <c r="J540" s="30">
        <f t="shared" ref="J540" si="2151">E540-E539</f>
        <v>-302</v>
      </c>
      <c r="K540" s="13">
        <f t="shared" ref="K540" si="2152">(F540-F488)/F488</f>
        <v>0.3155339805825243</v>
      </c>
      <c r="L540" s="3">
        <f t="shared" ref="L540" si="2153">AVERAGE(F384,F436,F488)</f>
        <v>619.66666666666663</v>
      </c>
    </row>
    <row r="541" spans="1:12" ht="14.25" x14ac:dyDescent="0.2">
      <c r="A541" s="21">
        <f t="shared" si="1593"/>
        <v>42378</v>
      </c>
      <c r="B541" s="3">
        <v>135</v>
      </c>
      <c r="C541" s="3">
        <v>0</v>
      </c>
      <c r="D541" s="3">
        <v>127</v>
      </c>
      <c r="E541" s="3">
        <f t="shared" si="2147"/>
        <v>262</v>
      </c>
      <c r="F541" s="3">
        <v>802</v>
      </c>
      <c r="G541" s="3">
        <f t="shared" ref="G541" si="2154">F541-E541</f>
        <v>540</v>
      </c>
      <c r="H541" s="49">
        <f t="shared" ref="H541" si="2155">(F541-F540)/F540</f>
        <v>-1.3530135301353014E-2</v>
      </c>
      <c r="I541" s="57">
        <f t="shared" ref="I541" si="2156">(E541-E540)/E540</f>
        <v>0.24170616113744076</v>
      </c>
      <c r="J541" s="30">
        <f t="shared" ref="J541" si="2157">E541-E540</f>
        <v>51</v>
      </c>
      <c r="K541" s="13">
        <f t="shared" ref="K541" si="2158">(F541-F489)/F489</f>
        <v>-0.17319587628865979</v>
      </c>
      <c r="L541" s="3">
        <f t="shared" ref="L541" si="2159">AVERAGE(F385,F437,F489)</f>
        <v>742.66666666666663</v>
      </c>
    </row>
    <row r="542" spans="1:12" ht="14.25" x14ac:dyDescent="0.2">
      <c r="A542" s="21">
        <f t="shared" si="1593"/>
        <v>42385</v>
      </c>
      <c r="B542" s="3">
        <v>123</v>
      </c>
      <c r="C542" s="3">
        <v>0</v>
      </c>
      <c r="D542" s="3">
        <v>237</v>
      </c>
      <c r="E542" s="3">
        <f t="shared" ref="E542" si="2160">SUM(B542:D542)</f>
        <v>360</v>
      </c>
      <c r="F542" s="3">
        <v>666</v>
      </c>
      <c r="G542" s="3">
        <f t="shared" ref="G542" si="2161">F542-E542</f>
        <v>306</v>
      </c>
      <c r="H542" s="49">
        <f t="shared" ref="H542" si="2162">(F542-F541)/F541</f>
        <v>-0.16957605985037408</v>
      </c>
      <c r="I542" s="57">
        <f t="shared" ref="I542" si="2163">(E542-E541)/E541</f>
        <v>0.37404580152671757</v>
      </c>
      <c r="J542" s="30">
        <f t="shared" ref="J542" si="2164">E542-E541</f>
        <v>98</v>
      </c>
      <c r="K542" s="13">
        <f t="shared" ref="K542" si="2165">(F542-F490)/F490</f>
        <v>-0.21739130434782608</v>
      </c>
      <c r="L542" s="3">
        <f t="shared" ref="L542" si="2166">AVERAGE(F386,F438,F490)</f>
        <v>770.33333333333337</v>
      </c>
    </row>
    <row r="543" spans="1:12" ht="14.25" x14ac:dyDescent="0.2">
      <c r="A543" s="21">
        <f t="shared" si="1593"/>
        <v>42392</v>
      </c>
      <c r="B543" s="3">
        <v>184</v>
      </c>
      <c r="C543" s="3">
        <v>20</v>
      </c>
      <c r="D543" s="3">
        <v>178</v>
      </c>
      <c r="E543" s="3">
        <f t="shared" ref="E543" si="2167">SUM(B543:D543)</f>
        <v>382</v>
      </c>
      <c r="F543" s="3">
        <v>630</v>
      </c>
      <c r="G543" s="3">
        <f t="shared" ref="G543" si="2168">F543-E543</f>
        <v>248</v>
      </c>
      <c r="H543" s="49">
        <f t="shared" ref="H543" si="2169">(F543-F542)/F542</f>
        <v>-5.4054054054054057E-2</v>
      </c>
      <c r="I543" s="57">
        <f t="shared" ref="I543" si="2170">(E543-E542)/E542</f>
        <v>6.1111111111111109E-2</v>
      </c>
      <c r="J543" s="30">
        <f t="shared" ref="J543" si="2171">E543-E542</f>
        <v>22</v>
      </c>
      <c r="K543" s="13">
        <f t="shared" ref="K543" si="2172">(F543-F491)/F491</f>
        <v>-0.21249999999999999</v>
      </c>
      <c r="L543" s="3">
        <f t="shared" ref="L543" si="2173">AVERAGE(F387,F439,F491)</f>
        <v>738</v>
      </c>
    </row>
    <row r="544" spans="1:12" ht="14.25" x14ac:dyDescent="0.2">
      <c r="A544" s="21">
        <f t="shared" si="1593"/>
        <v>42399</v>
      </c>
      <c r="B544" s="3">
        <v>244</v>
      </c>
      <c r="C544" s="3">
        <v>27</v>
      </c>
      <c r="D544" s="3">
        <v>188</v>
      </c>
      <c r="E544" s="3">
        <f t="shared" ref="E544" si="2174">SUM(B544:D544)</f>
        <v>459</v>
      </c>
      <c r="F544" s="3">
        <v>531</v>
      </c>
      <c r="G544" s="3">
        <f t="shared" ref="G544" si="2175">F544-E544</f>
        <v>72</v>
      </c>
      <c r="H544" s="49">
        <f t="shared" ref="H544" si="2176">(F544-F543)/F543</f>
        <v>-0.15714285714285714</v>
      </c>
      <c r="I544" s="57">
        <f t="shared" ref="I544" si="2177">(E544-E543)/E543</f>
        <v>0.20157068062827224</v>
      </c>
      <c r="J544" s="30">
        <f t="shared" ref="J544" si="2178">E544-E543</f>
        <v>77</v>
      </c>
      <c r="K544" s="13">
        <f t="shared" ref="K544" si="2179">(F544-F492)/F492</f>
        <v>-0.32528589580686151</v>
      </c>
      <c r="L544" s="3">
        <f t="shared" ref="L544" si="2180">AVERAGE(F388,F440,F492)</f>
        <v>660.66666666666663</v>
      </c>
    </row>
    <row r="545" spans="1:12" ht="14.25" x14ac:dyDescent="0.2">
      <c r="A545" s="21">
        <f t="shared" si="1593"/>
        <v>42406</v>
      </c>
      <c r="B545" s="3">
        <v>359</v>
      </c>
      <c r="C545" s="3">
        <v>45</v>
      </c>
      <c r="D545" s="3">
        <v>210</v>
      </c>
      <c r="E545" s="3">
        <f t="shared" ref="E545" si="2181">SUM(B545:D545)</f>
        <v>614</v>
      </c>
      <c r="F545" s="3">
        <v>695</v>
      </c>
      <c r="G545" s="3">
        <f t="shared" ref="G545" si="2182">F545-E545</f>
        <v>81</v>
      </c>
      <c r="H545" s="49">
        <f t="shared" ref="H545" si="2183">(F545-F544)/F544</f>
        <v>0.3088512241054614</v>
      </c>
      <c r="I545" s="57">
        <f t="shared" ref="I545" si="2184">(E545-E544)/E544</f>
        <v>0.33769063180827885</v>
      </c>
      <c r="J545" s="30">
        <f t="shared" ref="J545" si="2185">E545-E544</f>
        <v>155</v>
      </c>
      <c r="K545" s="13">
        <f t="shared" ref="K545" si="2186">(F545-F493)/F493</f>
        <v>-0.13985148514851486</v>
      </c>
      <c r="L545" s="3">
        <f t="shared" ref="L545" si="2187">AVERAGE(F389,F441,F493)</f>
        <v>704.33333333333337</v>
      </c>
    </row>
    <row r="546" spans="1:12" ht="14.25" x14ac:dyDescent="0.2">
      <c r="A546" s="21">
        <f t="shared" si="1593"/>
        <v>42413</v>
      </c>
      <c r="B546" s="3">
        <v>201</v>
      </c>
      <c r="C546" s="3">
        <v>83</v>
      </c>
      <c r="D546" s="3">
        <v>179</v>
      </c>
      <c r="E546" s="3">
        <f t="shared" ref="E546" si="2188">SUM(B546:D546)</f>
        <v>463</v>
      </c>
      <c r="F546" s="3">
        <v>842</v>
      </c>
      <c r="G546" s="3">
        <f t="shared" ref="G546" si="2189">F546-E546</f>
        <v>379</v>
      </c>
      <c r="H546" s="49">
        <f t="shared" ref="H546" si="2190">(F546-F545)/F545</f>
        <v>0.21151079136690648</v>
      </c>
      <c r="I546" s="57">
        <f t="shared" ref="I546" si="2191">(E546-E545)/E545</f>
        <v>-0.24592833876221498</v>
      </c>
      <c r="J546" s="30">
        <f t="shared" ref="J546" si="2192">E546-E545</f>
        <v>-151</v>
      </c>
      <c r="K546" s="13">
        <f t="shared" ref="K546" si="2193">(F546-F494)/F494</f>
        <v>-1.5204678362573099E-2</v>
      </c>
      <c r="L546" s="3">
        <f t="shared" ref="L546" si="2194">AVERAGE(F390,F442,F494)</f>
        <v>697.33333333333337</v>
      </c>
    </row>
    <row r="547" spans="1:12" ht="14.25" x14ac:dyDescent="0.2">
      <c r="A547" s="21">
        <f t="shared" si="1593"/>
        <v>42420</v>
      </c>
      <c r="B547" s="3">
        <v>134</v>
      </c>
      <c r="C547" s="3">
        <v>38</v>
      </c>
      <c r="D547" s="3">
        <v>62</v>
      </c>
      <c r="E547" s="3">
        <f t="shared" ref="E547" si="2195">SUM(B547:D547)</f>
        <v>234</v>
      </c>
      <c r="F547" s="3">
        <v>855</v>
      </c>
      <c r="G547" s="3">
        <f t="shared" ref="G547" si="2196">F547-E547</f>
        <v>621</v>
      </c>
      <c r="H547" s="49">
        <f t="shared" ref="H547" si="2197">(F547-F546)/F546</f>
        <v>1.5439429928741092E-2</v>
      </c>
      <c r="I547" s="57">
        <f t="shared" ref="I547" si="2198">(E547-E546)/E546</f>
        <v>-0.49460043196544279</v>
      </c>
      <c r="J547" s="30">
        <f t="shared" ref="J547" si="2199">E547-E546</f>
        <v>-229</v>
      </c>
      <c r="K547" s="13">
        <f t="shared" ref="K547" si="2200">(F547-F495)/F495</f>
        <v>0.23554913294797689</v>
      </c>
      <c r="L547" s="3">
        <f t="shared" ref="L547" si="2201">AVERAGE(F391,F443,F495)</f>
        <v>700</v>
      </c>
    </row>
    <row r="548" spans="1:12" ht="14.25" x14ac:dyDescent="0.2">
      <c r="A548" s="21">
        <f t="shared" si="1593"/>
        <v>42427</v>
      </c>
      <c r="B548" s="3">
        <v>118</v>
      </c>
      <c r="C548" s="3">
        <v>49</v>
      </c>
      <c r="D548" s="3">
        <v>114</v>
      </c>
      <c r="E548" s="3">
        <f t="shared" ref="E548" si="2202">SUM(B548:D548)</f>
        <v>281</v>
      </c>
      <c r="F548" s="3">
        <v>734</v>
      </c>
      <c r="G548" s="3">
        <f t="shared" ref="G548" si="2203">F548-E548</f>
        <v>453</v>
      </c>
      <c r="H548" s="49">
        <f t="shared" ref="H548" si="2204">(F548-F547)/F547</f>
        <v>-0.1415204678362573</v>
      </c>
      <c r="I548" s="57">
        <f t="shared" ref="I548" si="2205">(E548-E547)/E547</f>
        <v>0.20085470085470086</v>
      </c>
      <c r="J548" s="30">
        <f t="shared" ref="J548" si="2206">E548-E547</f>
        <v>47</v>
      </c>
      <c r="K548" s="13">
        <f t="shared" ref="K548:K553" si="2207">(F548-F496)/F496</f>
        <v>2.7322404371584699E-3</v>
      </c>
      <c r="L548" s="3">
        <f t="shared" ref="L548" si="2208">AVERAGE(F392,F444,F496)</f>
        <v>646</v>
      </c>
    </row>
    <row r="549" spans="1:12" ht="14.25" x14ac:dyDescent="0.2">
      <c r="A549" s="21">
        <f t="shared" si="1593"/>
        <v>42434</v>
      </c>
      <c r="B549" s="3">
        <v>120</v>
      </c>
      <c r="C549" s="3">
        <v>25</v>
      </c>
      <c r="D549" s="3">
        <v>122</v>
      </c>
      <c r="E549" s="3">
        <f t="shared" ref="E549" si="2209">SUM(B549:D549)</f>
        <v>267</v>
      </c>
      <c r="F549" s="3">
        <v>795</v>
      </c>
      <c r="G549" s="3">
        <f t="shared" ref="G549" si="2210">F549-E549</f>
        <v>528</v>
      </c>
      <c r="H549" s="49">
        <f t="shared" ref="H549" si="2211">(F549-F548)/F548</f>
        <v>8.3106267029972758E-2</v>
      </c>
      <c r="I549" s="57">
        <f t="shared" ref="I549:I554" si="2212">(E549-E548)/E548</f>
        <v>-4.9822064056939501E-2</v>
      </c>
      <c r="J549" s="30">
        <f t="shared" ref="J549" si="2213">E549-E548</f>
        <v>-14</v>
      </c>
      <c r="K549" s="13">
        <f t="shared" si="2207"/>
        <v>0.52591170825335898</v>
      </c>
      <c r="L549" s="3">
        <f t="shared" ref="L549" si="2214">AVERAGE(F393,F445,F497)</f>
        <v>530.66666666666663</v>
      </c>
    </row>
    <row r="550" spans="1:12" ht="14.25" x14ac:dyDescent="0.2">
      <c r="A550" s="21">
        <f t="shared" si="1593"/>
        <v>42441</v>
      </c>
      <c r="B550" s="3">
        <v>112</v>
      </c>
      <c r="C550" s="3">
        <v>39</v>
      </c>
      <c r="D550" s="3">
        <v>150</v>
      </c>
      <c r="E550" s="3">
        <f t="shared" ref="E550" si="2215">SUM(B550:D550)</f>
        <v>301</v>
      </c>
      <c r="F550" s="3">
        <v>530</v>
      </c>
      <c r="G550" s="3">
        <f t="shared" ref="G550" si="2216">F550-E550</f>
        <v>229</v>
      </c>
      <c r="H550" s="49">
        <f t="shared" ref="H550:H555" si="2217">(F550-F549)/F549</f>
        <v>-0.33333333333333331</v>
      </c>
      <c r="I550" s="57">
        <f t="shared" si="2212"/>
        <v>0.12734082397003746</v>
      </c>
      <c r="J550" s="30">
        <f t="shared" ref="J550" si="2218">E550-E549</f>
        <v>34</v>
      </c>
      <c r="K550" s="13">
        <f t="shared" si="2207"/>
        <v>-1.3035381750465549E-2</v>
      </c>
      <c r="L550" s="3">
        <f t="shared" ref="L550" si="2219">AVERAGE(F394,F446,F498)</f>
        <v>570.33333333333337</v>
      </c>
    </row>
    <row r="551" spans="1:12" ht="14.25" x14ac:dyDescent="0.2">
      <c r="A551" s="21">
        <f t="shared" si="1593"/>
        <v>42448</v>
      </c>
      <c r="B551" s="3">
        <v>216</v>
      </c>
      <c r="C551" s="3">
        <v>34</v>
      </c>
      <c r="D551" s="3">
        <v>77</v>
      </c>
      <c r="E551" s="3">
        <f t="shared" ref="E551" si="2220">SUM(B551:D551)</f>
        <v>327</v>
      </c>
      <c r="F551" s="3">
        <v>579</v>
      </c>
      <c r="G551" s="3">
        <f t="shared" ref="G551" si="2221">F551-E551</f>
        <v>252</v>
      </c>
      <c r="H551" s="49">
        <f t="shared" si="2217"/>
        <v>9.2452830188679239E-2</v>
      </c>
      <c r="I551" s="57">
        <f t="shared" si="2212"/>
        <v>8.6378737541528236E-2</v>
      </c>
      <c r="J551" s="30">
        <f t="shared" ref="J551" si="2222">E551-E550</f>
        <v>26</v>
      </c>
      <c r="K551" s="13">
        <f t="shared" si="2207"/>
        <v>0.21383647798742139</v>
      </c>
      <c r="L551" s="3">
        <f t="shared" ref="L551" si="2223">AVERAGE(F395,F447,F499)</f>
        <v>543.66666666666663</v>
      </c>
    </row>
    <row r="552" spans="1:12" ht="14.25" x14ac:dyDescent="0.2">
      <c r="A552" s="21">
        <f t="shared" si="1593"/>
        <v>42455</v>
      </c>
      <c r="B552" s="3">
        <v>347</v>
      </c>
      <c r="C552" s="3">
        <v>38</v>
      </c>
      <c r="D552" s="3">
        <v>115</v>
      </c>
      <c r="E552" s="3">
        <f t="shared" ref="E552" si="2224">SUM(B552:D552)</f>
        <v>500</v>
      </c>
      <c r="F552" s="3">
        <v>485</v>
      </c>
      <c r="G552" s="3">
        <f t="shared" ref="G552" si="2225">F552-E552</f>
        <v>-15</v>
      </c>
      <c r="H552" s="49">
        <f t="shared" si="2217"/>
        <v>-0.16234887737478412</v>
      </c>
      <c r="I552" s="57">
        <f t="shared" si="2212"/>
        <v>0.52905198776758411</v>
      </c>
      <c r="J552" s="30">
        <f t="shared" ref="J552" si="2226">E552-E551</f>
        <v>173</v>
      </c>
      <c r="K552" s="13">
        <f t="shared" si="2207"/>
        <v>-0.22150882825040127</v>
      </c>
      <c r="L552" s="3">
        <f t="shared" ref="L552" si="2227">AVERAGE(F396,F448,F500)</f>
        <v>582.33333333333337</v>
      </c>
    </row>
    <row r="553" spans="1:12" ht="14.25" x14ac:dyDescent="0.2">
      <c r="A553" s="21">
        <f t="shared" si="1593"/>
        <v>42462</v>
      </c>
      <c r="B553" s="3">
        <v>260</v>
      </c>
      <c r="C553" s="3">
        <v>29</v>
      </c>
      <c r="D553" s="3">
        <v>94</v>
      </c>
      <c r="E553" s="3">
        <f t="shared" ref="E553" si="2228">SUM(B553:D553)</f>
        <v>383</v>
      </c>
      <c r="F553" s="3">
        <v>525</v>
      </c>
      <c r="G553" s="3">
        <f t="shared" ref="G553" si="2229">F553-E553</f>
        <v>142</v>
      </c>
      <c r="H553" s="49">
        <f t="shared" si="2217"/>
        <v>8.247422680412371E-2</v>
      </c>
      <c r="I553" s="57">
        <f t="shared" si="2212"/>
        <v>-0.23400000000000001</v>
      </c>
      <c r="J553" s="30">
        <f t="shared" ref="J553" si="2230">E553-E552</f>
        <v>-117</v>
      </c>
      <c r="K553" s="13">
        <f t="shared" si="2207"/>
        <v>0.16407982261640799</v>
      </c>
      <c r="L553" s="3">
        <f t="shared" ref="L553" si="2231">AVERAGE(F397,F449,F501)</f>
        <v>490.33333333333331</v>
      </c>
    </row>
    <row r="554" spans="1:12" ht="14.25" x14ac:dyDescent="0.2">
      <c r="A554" s="21">
        <f t="shared" si="1593"/>
        <v>42469</v>
      </c>
      <c r="B554" s="3">
        <v>307</v>
      </c>
      <c r="C554" s="3">
        <v>25</v>
      </c>
      <c r="D554" s="3">
        <v>107</v>
      </c>
      <c r="E554" s="3">
        <f t="shared" ref="E554" si="2232">SUM(B554:D554)</f>
        <v>439</v>
      </c>
      <c r="F554" s="3">
        <v>645</v>
      </c>
      <c r="G554" s="3">
        <f t="shared" ref="G554" si="2233">F554-E554</f>
        <v>206</v>
      </c>
      <c r="H554" s="49">
        <f t="shared" si="2217"/>
        <v>0.22857142857142856</v>
      </c>
      <c r="I554" s="57">
        <f t="shared" si="2212"/>
        <v>0.14621409921671019</v>
      </c>
      <c r="J554" s="30">
        <f t="shared" ref="J554" si="2234">E554-E553</f>
        <v>56</v>
      </c>
      <c r="K554" s="13">
        <f t="shared" ref="K554" si="2235">(F554-F502)/F502</f>
        <v>0.26223091976516633</v>
      </c>
      <c r="L554" s="3">
        <f t="shared" ref="L554" si="2236">AVERAGE(F398,F450,F502)</f>
        <v>504.66666666666669</v>
      </c>
    </row>
    <row r="555" spans="1:12" ht="14.25" x14ac:dyDescent="0.2">
      <c r="A555" s="21">
        <f t="shared" si="1593"/>
        <v>42476</v>
      </c>
      <c r="B555" s="3">
        <v>317</v>
      </c>
      <c r="C555" s="3">
        <v>23</v>
      </c>
      <c r="D555" s="3">
        <v>91</v>
      </c>
      <c r="E555" s="3">
        <f t="shared" ref="E555" si="2237">SUM(B555:D555)</f>
        <v>431</v>
      </c>
      <c r="F555" s="3">
        <v>546</v>
      </c>
      <c r="G555" s="3">
        <f t="shared" ref="G555:G560" si="2238">F555-E555</f>
        <v>115</v>
      </c>
      <c r="H555" s="49">
        <f t="shared" si="2217"/>
        <v>-0.15348837209302327</v>
      </c>
      <c r="I555" s="57">
        <f t="shared" ref="I555" si="2239">(E555-E554)/E554</f>
        <v>-1.8223234624145785E-2</v>
      </c>
      <c r="J555" s="30">
        <f t="shared" ref="J555" si="2240">E555-E554</f>
        <v>-8</v>
      </c>
      <c r="K555" s="13">
        <f t="shared" ref="K555" si="2241">(F555-F503)/F503</f>
        <v>0.25229357798165136</v>
      </c>
      <c r="L555" s="3">
        <f t="shared" ref="L555" si="2242">AVERAGE(F399,F451,F503)</f>
        <v>479</v>
      </c>
    </row>
    <row r="556" spans="1:12" ht="14.25" x14ac:dyDescent="0.2">
      <c r="A556" s="21">
        <f t="shared" si="1593"/>
        <v>42483</v>
      </c>
      <c r="B556" s="3">
        <v>432</v>
      </c>
      <c r="C556" s="3">
        <v>16</v>
      </c>
      <c r="D556" s="3">
        <v>64</v>
      </c>
      <c r="E556" s="3">
        <f t="shared" ref="E556" si="2243">SUM(B556:D556)</f>
        <v>512</v>
      </c>
      <c r="F556" s="3">
        <v>688</v>
      </c>
      <c r="G556" s="3">
        <f t="shared" si="2238"/>
        <v>176</v>
      </c>
      <c r="H556" s="49">
        <f t="shared" ref="H556" si="2244">(F556-F555)/F555</f>
        <v>0.26007326007326009</v>
      </c>
      <c r="I556" s="57">
        <f t="shared" ref="I556" si="2245">(E556-E555)/E555</f>
        <v>0.18793503480278423</v>
      </c>
      <c r="J556" s="30">
        <f t="shared" ref="J556" si="2246">E556-E555</f>
        <v>81</v>
      </c>
      <c r="K556" s="13">
        <f t="shared" ref="K556" si="2247">(F556-F504)/F504</f>
        <v>5.0381679389312976E-2</v>
      </c>
      <c r="L556" s="3">
        <f t="shared" ref="L556" si="2248">AVERAGE(F400,F452,F504)</f>
        <v>492.33333333333331</v>
      </c>
    </row>
    <row r="557" spans="1:12" ht="14.25" x14ac:dyDescent="0.2">
      <c r="A557" s="21">
        <f t="shared" si="1593"/>
        <v>42490</v>
      </c>
      <c r="B557" s="3">
        <v>457</v>
      </c>
      <c r="C557" s="3">
        <v>37</v>
      </c>
      <c r="D557" s="3">
        <v>79</v>
      </c>
      <c r="E557" s="3">
        <f t="shared" ref="E557:E562" si="2249">SUM(B557:D557)</f>
        <v>573</v>
      </c>
      <c r="F557" s="3">
        <v>598</v>
      </c>
      <c r="G557" s="3">
        <f t="shared" si="2238"/>
        <v>25</v>
      </c>
      <c r="H557" s="49">
        <f t="shared" ref="H557" si="2250">(F557-F556)/F556</f>
        <v>-0.1308139534883721</v>
      </c>
      <c r="I557" s="57">
        <f t="shared" ref="I557" si="2251">(E557-E556)/E556</f>
        <v>0.119140625</v>
      </c>
      <c r="J557" s="30">
        <f t="shared" ref="J557" si="2252">E557-E556</f>
        <v>61</v>
      </c>
      <c r="K557" s="13">
        <f t="shared" ref="K557" si="2253">(F557-F505)/F505</f>
        <v>2.7491408934707903E-2</v>
      </c>
      <c r="L557" s="3">
        <f t="shared" ref="L557" si="2254">AVERAGE(F401,F453,F505)</f>
        <v>476.33333333333331</v>
      </c>
    </row>
    <row r="558" spans="1:12" ht="14.25" x14ac:dyDescent="0.2">
      <c r="A558" s="21">
        <f t="shared" si="1593"/>
        <v>42497</v>
      </c>
      <c r="B558" s="3">
        <v>516</v>
      </c>
      <c r="C558" s="3">
        <v>19</v>
      </c>
      <c r="D558" s="3">
        <v>75</v>
      </c>
      <c r="E558" s="3">
        <f t="shared" si="2249"/>
        <v>610</v>
      </c>
      <c r="F558" s="3">
        <v>639</v>
      </c>
      <c r="G558" s="3">
        <f t="shared" si="2238"/>
        <v>29</v>
      </c>
      <c r="H558" s="49">
        <f t="shared" ref="H558" si="2255">(F558-F557)/F557</f>
        <v>6.8561872909698993E-2</v>
      </c>
      <c r="I558" s="57">
        <f t="shared" ref="I558" si="2256">(E558-E557)/E557</f>
        <v>6.4572425828970326E-2</v>
      </c>
      <c r="J558" s="30">
        <f t="shared" ref="J558" si="2257">E558-E557</f>
        <v>37</v>
      </c>
      <c r="K558" s="13">
        <f t="shared" ref="K558" si="2258">(F558-F506)/F506</f>
        <v>-5.473372781065089E-2</v>
      </c>
      <c r="L558" s="3">
        <f t="shared" ref="L558" si="2259">AVERAGE(F402,F454,F506)</f>
        <v>456.66666666666669</v>
      </c>
    </row>
    <row r="559" spans="1:12" ht="14.25" x14ac:dyDescent="0.2">
      <c r="A559" s="21">
        <f t="shared" si="1593"/>
        <v>42504</v>
      </c>
      <c r="B559" s="3">
        <v>419</v>
      </c>
      <c r="C559" s="3">
        <v>40</v>
      </c>
      <c r="D559" s="3">
        <v>81</v>
      </c>
      <c r="E559" s="3">
        <f t="shared" si="2249"/>
        <v>540</v>
      </c>
      <c r="F559" s="3">
        <v>617</v>
      </c>
      <c r="G559" s="3">
        <f t="shared" si="2238"/>
        <v>77</v>
      </c>
      <c r="H559" s="49">
        <f t="shared" ref="H559" si="2260">(F559-F558)/F558</f>
        <v>-3.4428794992175271E-2</v>
      </c>
      <c r="I559" s="57">
        <f t="shared" ref="I559:I564" si="2261">(E559-E558)/E558</f>
        <v>-0.11475409836065574</v>
      </c>
      <c r="J559" s="30">
        <f t="shared" ref="J559" si="2262">E559-E558</f>
        <v>-70</v>
      </c>
      <c r="K559" s="13">
        <f t="shared" ref="K559" si="2263">(F559-F507)/F507</f>
        <v>-8.4569732937685466E-2</v>
      </c>
      <c r="L559" s="3">
        <f t="shared" ref="L559" si="2264">AVERAGE(F403,F455,F507)</f>
        <v>539</v>
      </c>
    </row>
    <row r="560" spans="1:12" ht="14.25" x14ac:dyDescent="0.2">
      <c r="A560" s="21">
        <f t="shared" si="1593"/>
        <v>42511</v>
      </c>
      <c r="B560" s="3">
        <v>464</v>
      </c>
      <c r="C560" s="3">
        <v>30</v>
      </c>
      <c r="D560" s="3">
        <v>45</v>
      </c>
      <c r="E560" s="3">
        <f t="shared" si="2249"/>
        <v>539</v>
      </c>
      <c r="F560" s="3">
        <v>498</v>
      </c>
      <c r="G560" s="3">
        <f t="shared" si="2238"/>
        <v>-41</v>
      </c>
      <c r="H560" s="49">
        <f t="shared" ref="H560" si="2265">(F560-F559)/F559</f>
        <v>-0.19286871961102106</v>
      </c>
      <c r="I560" s="57">
        <f t="shared" si="2261"/>
        <v>-1.8518518518518519E-3</v>
      </c>
      <c r="J560" s="30">
        <f t="shared" ref="J560" si="2266">E560-E559</f>
        <v>-1</v>
      </c>
      <c r="K560" s="13">
        <f t="shared" ref="K560" si="2267">(F560-F508)/F508</f>
        <v>-0.18092105263157895</v>
      </c>
      <c r="L560" s="3">
        <f t="shared" ref="L560" si="2268">AVERAGE(F404,F456,F508)</f>
        <v>532</v>
      </c>
    </row>
    <row r="561" spans="1:12" ht="14.25" x14ac:dyDescent="0.2">
      <c r="A561" s="21">
        <f t="shared" si="1593"/>
        <v>42518</v>
      </c>
      <c r="B561" s="3">
        <v>477</v>
      </c>
      <c r="C561" s="3">
        <v>34</v>
      </c>
      <c r="D561" s="3">
        <v>38</v>
      </c>
      <c r="E561" s="3">
        <f t="shared" si="2249"/>
        <v>549</v>
      </c>
      <c r="F561" s="3">
        <v>465</v>
      </c>
      <c r="G561" s="3">
        <f t="shared" ref="G561" si="2269">F561-E561</f>
        <v>-84</v>
      </c>
      <c r="H561" s="49">
        <f t="shared" ref="H561" si="2270">(F561-F560)/F560</f>
        <v>-6.6265060240963861E-2</v>
      </c>
      <c r="I561" s="57">
        <f t="shared" si="2261"/>
        <v>1.8552875695732839E-2</v>
      </c>
      <c r="J561" s="30">
        <f t="shared" ref="J561" si="2271">E561-E560</f>
        <v>10</v>
      </c>
      <c r="K561" s="13">
        <f t="shared" ref="K561" si="2272">(F561-F509)/F509</f>
        <v>0.1018957345971564</v>
      </c>
      <c r="L561" s="3">
        <f t="shared" ref="L561" si="2273">AVERAGE(F405,F457,F509)</f>
        <v>380.66666666666669</v>
      </c>
    </row>
    <row r="562" spans="1:12" ht="14.25" x14ac:dyDescent="0.2">
      <c r="A562" s="21">
        <f t="shared" si="1593"/>
        <v>42525</v>
      </c>
      <c r="B562" s="3">
        <v>364</v>
      </c>
      <c r="C562" s="3">
        <v>14</v>
      </c>
      <c r="D562" s="3">
        <v>18</v>
      </c>
      <c r="E562" s="3">
        <f t="shared" si="2249"/>
        <v>396</v>
      </c>
      <c r="F562" s="3">
        <v>639</v>
      </c>
      <c r="G562" s="3">
        <f t="shared" ref="G562" si="2274">F562-E562</f>
        <v>243</v>
      </c>
      <c r="H562" s="49">
        <f t="shared" ref="H562" si="2275">(F562-F561)/F561</f>
        <v>0.37419354838709679</v>
      </c>
      <c r="I562" s="57">
        <f t="shared" si="2261"/>
        <v>-0.27868852459016391</v>
      </c>
      <c r="J562" s="30">
        <f t="shared" ref="J562" si="2276">E562-E561</f>
        <v>-153</v>
      </c>
      <c r="K562" s="13">
        <f t="shared" ref="K562" si="2277">(F562-F510)/F510</f>
        <v>0.45227272727272727</v>
      </c>
      <c r="L562" s="3">
        <f t="shared" ref="L562" si="2278">AVERAGE(F406,F458,F510)</f>
        <v>439</v>
      </c>
    </row>
    <row r="563" spans="1:12" ht="14.25" x14ac:dyDescent="0.2">
      <c r="A563" s="21">
        <f t="shared" si="1593"/>
        <v>42532</v>
      </c>
      <c r="B563" s="3">
        <v>491</v>
      </c>
      <c r="C563" s="3">
        <v>41</v>
      </c>
      <c r="D563" s="3">
        <v>40</v>
      </c>
      <c r="E563" s="3">
        <f t="shared" ref="E563:E568" si="2279">SUM(B563:D563)</f>
        <v>572</v>
      </c>
      <c r="F563" s="3">
        <v>773</v>
      </c>
      <c r="G563" s="3">
        <f t="shared" ref="G563" si="2280">F563-E563</f>
        <v>201</v>
      </c>
      <c r="H563" s="49">
        <f t="shared" ref="H563" si="2281">(F563-F562)/F562</f>
        <v>0.20970266040688576</v>
      </c>
      <c r="I563" s="57">
        <f t="shared" si="2261"/>
        <v>0.44444444444444442</v>
      </c>
      <c r="J563" s="30">
        <f t="shared" ref="J563" si="2282">E563-E562</f>
        <v>176</v>
      </c>
      <c r="K563" s="13">
        <f t="shared" ref="K563" si="2283">(F563-F511)/F511</f>
        <v>0.2427652733118971</v>
      </c>
      <c r="L563" s="3">
        <f t="shared" ref="L563" si="2284">AVERAGE(F407,F459,F511)</f>
        <v>491.33333333333331</v>
      </c>
    </row>
    <row r="564" spans="1:12" ht="14.25" x14ac:dyDescent="0.2">
      <c r="A564" s="21">
        <f t="shared" si="1593"/>
        <v>42539</v>
      </c>
      <c r="B564" s="3">
        <v>518</v>
      </c>
      <c r="C564" s="3">
        <v>31</v>
      </c>
      <c r="D564" s="3">
        <v>19</v>
      </c>
      <c r="E564" s="3">
        <f t="shared" si="2279"/>
        <v>568</v>
      </c>
      <c r="F564" s="3">
        <v>725</v>
      </c>
      <c r="G564" s="3">
        <f t="shared" ref="G564" si="2285">F564-E564</f>
        <v>157</v>
      </c>
      <c r="H564" s="49">
        <f t="shared" ref="H564" si="2286">(F564-F563)/F563</f>
        <v>-6.2095730918499355E-2</v>
      </c>
      <c r="I564" s="57">
        <f t="shared" si="2261"/>
        <v>-6.993006993006993E-3</v>
      </c>
      <c r="J564" s="30">
        <f t="shared" ref="J564" si="2287">E564-E563</f>
        <v>-4</v>
      </c>
      <c r="K564" s="13">
        <f t="shared" ref="K564" si="2288">(F564-F512)/F512</f>
        <v>0.22673434856175972</v>
      </c>
      <c r="L564" s="3">
        <f t="shared" ref="L564" si="2289">AVERAGE(F408,F460,F512)</f>
        <v>450</v>
      </c>
    </row>
    <row r="565" spans="1:12" ht="14.25" x14ac:dyDescent="0.2">
      <c r="A565" s="21">
        <f t="shared" si="1593"/>
        <v>42546</v>
      </c>
      <c r="B565" s="3">
        <v>575</v>
      </c>
      <c r="C565" s="3">
        <v>38</v>
      </c>
      <c r="D565" s="3">
        <v>29</v>
      </c>
      <c r="E565" s="3">
        <f t="shared" si="2279"/>
        <v>642</v>
      </c>
      <c r="F565" s="3">
        <v>548</v>
      </c>
      <c r="G565" s="3">
        <f t="shared" ref="G565" si="2290">F565-E565</f>
        <v>-94</v>
      </c>
      <c r="H565" s="49">
        <f t="shared" ref="H565" si="2291">(F565-F564)/F564</f>
        <v>-0.24413793103448275</v>
      </c>
      <c r="I565" s="57">
        <f t="shared" ref="I565" si="2292">(E565-E564)/E564</f>
        <v>0.13028169014084506</v>
      </c>
      <c r="J565" s="30">
        <f t="shared" ref="J565" si="2293">E565-E564</f>
        <v>74</v>
      </c>
      <c r="K565" s="13">
        <f t="shared" ref="K565" si="2294">(F565-F513)/F513</f>
        <v>-2.8368794326241134E-2</v>
      </c>
      <c r="L565" s="3">
        <f t="shared" ref="L565" si="2295">AVERAGE(F409,F461,F513)</f>
        <v>496.33333333333331</v>
      </c>
    </row>
    <row r="566" spans="1:12" ht="14.25" x14ac:dyDescent="0.2">
      <c r="A566" s="21">
        <f t="shared" si="1593"/>
        <v>42553</v>
      </c>
      <c r="B566" s="3">
        <v>398</v>
      </c>
      <c r="C566" s="3">
        <v>25</v>
      </c>
      <c r="D566" s="3">
        <v>60</v>
      </c>
      <c r="E566" s="3">
        <f t="shared" si="2279"/>
        <v>483</v>
      </c>
      <c r="F566" s="3">
        <v>498</v>
      </c>
      <c r="G566" s="3">
        <f t="shared" ref="G566" si="2296">F566-E566</f>
        <v>15</v>
      </c>
      <c r="H566" s="49">
        <f t="shared" ref="H566" si="2297">(F566-F565)/F565</f>
        <v>-9.1240875912408759E-2</v>
      </c>
      <c r="I566" s="57">
        <f t="shared" ref="I566" si="2298">(E566-E565)/E565</f>
        <v>-0.24766355140186916</v>
      </c>
      <c r="J566" s="30">
        <f t="shared" ref="J566" si="2299">E566-E565</f>
        <v>-159</v>
      </c>
      <c r="K566" s="13">
        <f t="shared" ref="K566" si="2300">(F566-F514)/F514</f>
        <v>-3.3009708737864081E-2</v>
      </c>
      <c r="L566" s="3">
        <f t="shared" ref="L566" si="2301">AVERAGE(F410,F462,F514)</f>
        <v>459</v>
      </c>
    </row>
    <row r="567" spans="1:12" ht="14.25" x14ac:dyDescent="0.2">
      <c r="A567" s="21">
        <f t="shared" si="1593"/>
        <v>42560</v>
      </c>
      <c r="B567" s="3">
        <v>601</v>
      </c>
      <c r="C567" s="3">
        <v>31</v>
      </c>
      <c r="D567" s="3">
        <v>55</v>
      </c>
      <c r="E567" s="3">
        <f t="shared" si="2279"/>
        <v>687</v>
      </c>
      <c r="F567" s="3">
        <v>815</v>
      </c>
      <c r="G567" s="3">
        <f t="shared" ref="G567" si="2302">F567-E567</f>
        <v>128</v>
      </c>
      <c r="H567" s="49">
        <f t="shared" ref="H567" si="2303">(F567-F566)/F566</f>
        <v>0.63654618473895586</v>
      </c>
      <c r="I567" s="57">
        <f t="shared" ref="I567" si="2304">(E567-E566)/E566</f>
        <v>0.42236024844720499</v>
      </c>
      <c r="J567" s="30">
        <f t="shared" ref="J567" si="2305">E567-E566</f>
        <v>204</v>
      </c>
      <c r="K567" s="13">
        <f t="shared" ref="K567" si="2306">(F567-F515)/F515</f>
        <v>0.33387888707037644</v>
      </c>
      <c r="L567" s="3">
        <f t="shared" ref="L567" si="2307">AVERAGE(F411,F463,F515)</f>
        <v>547</v>
      </c>
    </row>
    <row r="568" spans="1:12" ht="14.25" x14ac:dyDescent="0.2">
      <c r="A568" s="21">
        <f t="shared" si="1593"/>
        <v>42567</v>
      </c>
      <c r="B568" s="3">
        <v>589</v>
      </c>
      <c r="C568" s="3">
        <v>36</v>
      </c>
      <c r="D568" s="3">
        <v>61</v>
      </c>
      <c r="E568" s="3">
        <f t="shared" si="2279"/>
        <v>686</v>
      </c>
      <c r="F568" s="3">
        <v>664</v>
      </c>
      <c r="G568" s="3">
        <f t="shared" ref="G568" si="2308">F568-E568</f>
        <v>-22</v>
      </c>
      <c r="H568" s="49">
        <f t="shared" ref="H568" si="2309">(F568-F567)/F567</f>
        <v>-0.18527607361963191</v>
      </c>
      <c r="I568" s="57">
        <f t="shared" ref="I568" si="2310">(E568-E567)/E567</f>
        <v>-1.455604075691412E-3</v>
      </c>
      <c r="J568" s="30">
        <f t="shared" ref="J568" si="2311">E568-E567</f>
        <v>-1</v>
      </c>
      <c r="K568" s="13">
        <f t="shared" ref="K568" si="2312">(F568-F516)/F516</f>
        <v>0.30708661417322836</v>
      </c>
      <c r="L568" s="3">
        <f t="shared" ref="L568" si="2313">AVERAGE(F412,F464,F516)</f>
        <v>428</v>
      </c>
    </row>
    <row r="569" spans="1:12" ht="14.25" x14ac:dyDescent="0.2">
      <c r="A569" s="21">
        <f t="shared" si="1593"/>
        <v>42574</v>
      </c>
      <c r="B569" s="3">
        <v>527</v>
      </c>
      <c r="C569" s="3">
        <v>32</v>
      </c>
      <c r="D569" s="3">
        <v>49</v>
      </c>
      <c r="E569" s="3">
        <f t="shared" ref="E569" si="2314">SUM(B569:D569)</f>
        <v>608</v>
      </c>
      <c r="F569" s="3">
        <v>845</v>
      </c>
      <c r="G569" s="3">
        <f t="shared" ref="G569" si="2315">F569-E569</f>
        <v>237</v>
      </c>
      <c r="H569" s="49">
        <f t="shared" ref="H569" si="2316">(F569-F568)/F568</f>
        <v>0.27259036144578314</v>
      </c>
      <c r="I569" s="57">
        <f t="shared" ref="I569" si="2317">(E569-E568)/E568</f>
        <v>-0.11370262390670553</v>
      </c>
      <c r="J569" s="30">
        <f t="shared" ref="J569" si="2318">E569-E568</f>
        <v>-78</v>
      </c>
      <c r="K569" s="13">
        <f t="shared" ref="K569" si="2319">(F569-F517)/F517</f>
        <v>0.51978417266187049</v>
      </c>
      <c r="L569" s="3">
        <f t="shared" ref="L569" si="2320">AVERAGE(F413,F465,F517)</f>
        <v>430.66666666666669</v>
      </c>
    </row>
    <row r="570" spans="1:12" ht="14.25" x14ac:dyDescent="0.2">
      <c r="A570" s="21">
        <f t="shared" si="1593"/>
        <v>42581</v>
      </c>
      <c r="B570" s="3">
        <v>635</v>
      </c>
      <c r="C570" s="3">
        <v>25</v>
      </c>
      <c r="D570" s="3">
        <v>76</v>
      </c>
      <c r="E570" s="3">
        <f t="shared" ref="E570" si="2321">SUM(B570:D570)</f>
        <v>736</v>
      </c>
      <c r="F570" s="3">
        <v>721</v>
      </c>
      <c r="G570" s="3">
        <f t="shared" ref="G570" si="2322">F570-E570</f>
        <v>-15</v>
      </c>
      <c r="H570" s="49">
        <f t="shared" ref="H570" si="2323">(F570-F569)/F569</f>
        <v>-0.1467455621301775</v>
      </c>
      <c r="I570" s="57">
        <f t="shared" ref="I570" si="2324">(E570-E569)/E569</f>
        <v>0.21052631578947367</v>
      </c>
      <c r="J570" s="30">
        <f t="shared" ref="J570" si="2325">E570-E569</f>
        <v>128</v>
      </c>
      <c r="K570" s="13">
        <f t="shared" ref="K570" si="2326">(F570-F518)/F518</f>
        <v>0.57080610021786493</v>
      </c>
      <c r="L570" s="3">
        <f t="shared" ref="L570" si="2327">AVERAGE(F414,F466,F518)</f>
        <v>411</v>
      </c>
    </row>
    <row r="571" spans="1:12" ht="14.25" x14ac:dyDescent="0.2">
      <c r="A571" s="21">
        <f t="shared" si="1593"/>
        <v>42588</v>
      </c>
      <c r="B571" s="3">
        <v>617</v>
      </c>
      <c r="C571" s="3">
        <v>38</v>
      </c>
      <c r="D571" s="3">
        <v>58</v>
      </c>
      <c r="E571" s="3">
        <f t="shared" ref="E571" si="2328">SUM(B571:D571)</f>
        <v>713</v>
      </c>
      <c r="F571" s="3">
        <v>777</v>
      </c>
      <c r="G571" s="3">
        <f t="shared" ref="G571" si="2329">F571-E571</f>
        <v>64</v>
      </c>
      <c r="H571" s="49">
        <f t="shared" ref="H571" si="2330">(F571-F570)/F570</f>
        <v>7.7669902912621352E-2</v>
      </c>
      <c r="I571" s="57">
        <f t="shared" ref="I571" si="2331">(E571-E570)/E570</f>
        <v>-3.125E-2</v>
      </c>
      <c r="J571" s="30">
        <f t="shared" ref="J571" si="2332">E571-E570</f>
        <v>-23</v>
      </c>
      <c r="K571" s="13">
        <f t="shared" ref="K571" si="2333">(F571-F519)/F519</f>
        <v>0.46603773584905661</v>
      </c>
      <c r="L571" s="3">
        <f t="shared" ref="L571" si="2334">AVERAGE(F415,F467,F519)</f>
        <v>436.33333333333331</v>
      </c>
    </row>
    <row r="572" spans="1:12" ht="14.25" x14ac:dyDescent="0.2">
      <c r="A572" s="21">
        <f t="shared" si="1593"/>
        <v>42595</v>
      </c>
      <c r="B572" s="3">
        <v>691</v>
      </c>
      <c r="C572" s="3">
        <v>40</v>
      </c>
      <c r="D572" s="3">
        <v>78</v>
      </c>
      <c r="E572" s="3">
        <f t="shared" ref="E572" si="2335">SUM(B572:D572)</f>
        <v>809</v>
      </c>
      <c r="F572" s="3">
        <v>647</v>
      </c>
      <c r="G572" s="3">
        <f t="shared" ref="G572" si="2336">F572-E572</f>
        <v>-162</v>
      </c>
      <c r="H572" s="49">
        <f t="shared" ref="H572" si="2337">(F572-F571)/F571</f>
        <v>-0.16731016731016732</v>
      </c>
      <c r="I572" s="57">
        <f t="shared" ref="I572" si="2338">(E572-E571)/E571</f>
        <v>0.13464235624123422</v>
      </c>
      <c r="J572" s="30">
        <f t="shared" ref="J572" si="2339">E572-E571</f>
        <v>96</v>
      </c>
      <c r="K572" s="13">
        <f t="shared" ref="K572" si="2340">(F572-F520)/F520</f>
        <v>-0.13502673796791445</v>
      </c>
      <c r="L572" s="3">
        <f t="shared" ref="L572" si="2341">AVERAGE(F416,F468,F520)</f>
        <v>523.33333333333337</v>
      </c>
    </row>
    <row r="573" spans="1:12" ht="14.25" x14ac:dyDescent="0.2">
      <c r="A573" s="21">
        <f t="shared" si="1593"/>
        <v>42602</v>
      </c>
      <c r="B573" s="3">
        <v>636</v>
      </c>
      <c r="C573" s="3">
        <v>32</v>
      </c>
      <c r="D573" s="3">
        <v>61</v>
      </c>
      <c r="E573" s="3">
        <f t="shared" ref="E573" si="2342">SUM(B573:D573)</f>
        <v>729</v>
      </c>
      <c r="F573" s="3">
        <v>844</v>
      </c>
      <c r="G573" s="3">
        <f t="shared" ref="G573" si="2343">F573-E573</f>
        <v>115</v>
      </c>
      <c r="H573" s="49">
        <f t="shared" ref="H573" si="2344">(F573-F572)/F572</f>
        <v>0.30448222565687788</v>
      </c>
      <c r="I573" s="57">
        <f t="shared" ref="I573" si="2345">(E573-E572)/E572</f>
        <v>-9.8887515451174288E-2</v>
      </c>
      <c r="J573" s="30">
        <f t="shared" ref="J573" si="2346">E573-E572</f>
        <v>-80</v>
      </c>
      <c r="K573" s="13">
        <f t="shared" ref="K573" si="2347">(F573-F521)/F521</f>
        <v>0.39966832504145938</v>
      </c>
      <c r="L573" s="3">
        <f t="shared" ref="L573" si="2348">AVERAGE(F417,F469,F521)</f>
        <v>485</v>
      </c>
    </row>
    <row r="574" spans="1:12" ht="14.25" x14ac:dyDescent="0.2">
      <c r="A574" s="21">
        <f t="shared" si="1593"/>
        <v>42609</v>
      </c>
      <c r="B574" s="3">
        <v>522</v>
      </c>
      <c r="C574" s="3">
        <v>30</v>
      </c>
      <c r="D574" s="3">
        <v>29</v>
      </c>
      <c r="E574" s="3">
        <f t="shared" ref="E574" si="2349">SUM(B574:D574)</f>
        <v>581</v>
      </c>
      <c r="F574" s="3">
        <v>915</v>
      </c>
      <c r="G574" s="3">
        <f t="shared" ref="G574" si="2350">F574-E574</f>
        <v>334</v>
      </c>
      <c r="H574" s="49">
        <f t="shared" ref="H574" si="2351">(F574-F573)/F573</f>
        <v>8.412322274881516E-2</v>
      </c>
      <c r="I574" s="57">
        <f t="shared" ref="I574" si="2352">(E574-E573)/E573</f>
        <v>-0.20301783264746229</v>
      </c>
      <c r="J574" s="30">
        <f t="shared" ref="J574" si="2353">E574-E573</f>
        <v>-148</v>
      </c>
      <c r="K574" s="13">
        <f t="shared" ref="K574" si="2354">(F574-F522)/F522</f>
        <v>0.844758064516129</v>
      </c>
      <c r="L574" s="3">
        <f t="shared" ref="L574" si="2355">AVERAGE(F418,F470,F522)</f>
        <v>453.66666666666669</v>
      </c>
    </row>
    <row r="575" spans="1:12" ht="14.25" x14ac:dyDescent="0.2">
      <c r="A575" s="21">
        <f t="shared" si="1593"/>
        <v>42616</v>
      </c>
      <c r="B575" s="3">
        <v>530</v>
      </c>
      <c r="C575" s="3">
        <v>0</v>
      </c>
      <c r="D575" s="3">
        <v>29</v>
      </c>
      <c r="E575" s="3">
        <f t="shared" ref="E575" si="2356">SUM(B575:D575)</f>
        <v>559</v>
      </c>
      <c r="F575" s="3">
        <v>1010</v>
      </c>
      <c r="G575" s="3">
        <f t="shared" ref="G575" si="2357">F575-E575</f>
        <v>451</v>
      </c>
      <c r="H575" s="49">
        <f t="shared" ref="H575" si="2358">(F575-F574)/F574</f>
        <v>0.10382513661202186</v>
      </c>
      <c r="I575" s="57">
        <f t="shared" ref="I575" si="2359">(E575-E574)/E574</f>
        <v>-3.7865748709122203E-2</v>
      </c>
      <c r="J575" s="30">
        <f t="shared" ref="J575" si="2360">E575-E574</f>
        <v>-22</v>
      </c>
      <c r="K575" s="13">
        <f t="shared" ref="K575" si="2361">(F575-F523)/F523</f>
        <v>0.55384615384615388</v>
      </c>
      <c r="L575" s="3">
        <f t="shared" ref="L575" si="2362">AVERAGE(F419,F471,F523)</f>
        <v>562.66666666666663</v>
      </c>
    </row>
    <row r="576" spans="1:12" ht="14.25" x14ac:dyDescent="0.2">
      <c r="A576" s="21">
        <f t="shared" si="1593"/>
        <v>42623</v>
      </c>
      <c r="B576" s="3">
        <v>292</v>
      </c>
      <c r="C576" s="3">
        <v>8</v>
      </c>
      <c r="D576" s="3">
        <v>44</v>
      </c>
      <c r="E576" s="3">
        <f t="shared" ref="E576" si="2363">SUM(B576:D576)</f>
        <v>344</v>
      </c>
      <c r="F576" s="3">
        <v>904</v>
      </c>
      <c r="G576" s="3">
        <f t="shared" ref="G576" si="2364">F576-E576</f>
        <v>560</v>
      </c>
      <c r="H576" s="49">
        <f t="shared" ref="H576" si="2365">(F576-F575)/F575</f>
        <v>-0.10495049504950495</v>
      </c>
      <c r="I576" s="57">
        <f t="shared" ref="I576" si="2366">(E576-E575)/E575</f>
        <v>-0.38461538461538464</v>
      </c>
      <c r="J576" s="30">
        <f t="shared" ref="J576" si="2367">E576-E575</f>
        <v>-215</v>
      </c>
      <c r="K576" s="13">
        <f t="shared" ref="K576" si="2368">(F576-F524)/F524</f>
        <v>0.5142378559463987</v>
      </c>
      <c r="L576" s="3">
        <f t="shared" ref="L576" si="2369">AVERAGE(F420,F472,F524)</f>
        <v>587.33333333333337</v>
      </c>
    </row>
    <row r="577" spans="1:12" ht="14.25" x14ac:dyDescent="0.2">
      <c r="A577" s="21">
        <f t="shared" si="1593"/>
        <v>42630</v>
      </c>
      <c r="B577" s="3">
        <v>203</v>
      </c>
      <c r="C577" s="3">
        <v>65</v>
      </c>
      <c r="D577" s="3">
        <v>66</v>
      </c>
      <c r="E577" s="3">
        <f t="shared" ref="E577" si="2370">SUM(B577:D577)</f>
        <v>334</v>
      </c>
      <c r="F577" s="3">
        <v>715</v>
      </c>
      <c r="G577" s="3">
        <f t="shared" ref="G577" si="2371">F577-E577</f>
        <v>381</v>
      </c>
      <c r="H577" s="49">
        <f t="shared" ref="H577" si="2372">(F577-F576)/F576</f>
        <v>-0.20907079646017698</v>
      </c>
      <c r="I577" s="57">
        <f t="shared" ref="I577" si="2373">(E577-E576)/E576</f>
        <v>-2.9069767441860465E-2</v>
      </c>
      <c r="J577" s="30">
        <f t="shared" ref="J577" si="2374">E577-E576</f>
        <v>-10</v>
      </c>
      <c r="K577" s="13">
        <f t="shared" ref="K577" si="2375">(F577-F525)/F525</f>
        <v>-6.413612565445026E-2</v>
      </c>
      <c r="L577" s="3">
        <f t="shared" ref="L577" si="2376">AVERAGE(F421,F473,F525)</f>
        <v>713</v>
      </c>
    </row>
    <row r="578" spans="1:12" ht="14.25" x14ac:dyDescent="0.2">
      <c r="A578" s="21">
        <f t="shared" ref="A578:A641" si="2377">7+A577</f>
        <v>42637</v>
      </c>
      <c r="B578" s="3">
        <v>168</v>
      </c>
      <c r="C578" s="3">
        <v>35</v>
      </c>
      <c r="D578" s="3">
        <v>78</v>
      </c>
      <c r="E578" s="3">
        <f t="shared" ref="E578" si="2378">SUM(B578:D578)</f>
        <v>281</v>
      </c>
      <c r="F578" s="3">
        <v>740</v>
      </c>
      <c r="G578" s="3">
        <f t="shared" ref="G578:G583" si="2379">F578-E578</f>
        <v>459</v>
      </c>
      <c r="H578" s="49">
        <f t="shared" ref="H578:H583" si="2380">(F578-F577)/F577</f>
        <v>3.4965034965034968E-2</v>
      </c>
      <c r="I578" s="57">
        <f t="shared" ref="I578" si="2381">(E578-E577)/E577</f>
        <v>-0.15868263473053892</v>
      </c>
      <c r="J578" s="30">
        <f t="shared" ref="J578" si="2382">E578-E577</f>
        <v>-53</v>
      </c>
      <c r="K578" s="13">
        <f t="shared" ref="K578" si="2383">(F578-F526)/F526</f>
        <v>-1.3333333333333334E-2</v>
      </c>
      <c r="L578" s="3">
        <f t="shared" ref="L578" si="2384">AVERAGE(F422,F474,F526)</f>
        <v>717.33333333333337</v>
      </c>
    </row>
    <row r="579" spans="1:12" ht="14.25" x14ac:dyDescent="0.2">
      <c r="A579" s="21">
        <f t="shared" si="2377"/>
        <v>42644</v>
      </c>
      <c r="B579" s="3">
        <v>290</v>
      </c>
      <c r="C579" s="3">
        <v>58</v>
      </c>
      <c r="D579" s="3">
        <v>105</v>
      </c>
      <c r="E579" s="3">
        <f t="shared" ref="E579" si="2385">SUM(B579:D579)</f>
        <v>453</v>
      </c>
      <c r="F579" s="3">
        <v>820</v>
      </c>
      <c r="G579" s="3">
        <f t="shared" si="2379"/>
        <v>367</v>
      </c>
      <c r="H579" s="49">
        <f t="shared" si="2380"/>
        <v>0.10810810810810811</v>
      </c>
      <c r="I579" s="57">
        <f t="shared" ref="I579" si="2386">(E579-E578)/E578</f>
        <v>0.61209964412811391</v>
      </c>
      <c r="J579" s="30">
        <f t="shared" ref="J579" si="2387">E579-E578</f>
        <v>172</v>
      </c>
      <c r="K579" s="13">
        <f t="shared" ref="K579" si="2388">(F579-F527)/F527</f>
        <v>0.16147308781869688</v>
      </c>
      <c r="L579" s="3">
        <f t="shared" ref="L579" si="2389">AVERAGE(F423,F475,F527)</f>
        <v>751</v>
      </c>
    </row>
    <row r="580" spans="1:12" ht="14.25" x14ac:dyDescent="0.2">
      <c r="A580" s="21">
        <f t="shared" si="2377"/>
        <v>42651</v>
      </c>
      <c r="B580" s="3">
        <v>250</v>
      </c>
      <c r="C580" s="3">
        <v>51</v>
      </c>
      <c r="D580" s="3">
        <v>103</v>
      </c>
      <c r="E580" s="3">
        <f t="shared" ref="E580" si="2390">SUM(B580:D580)</f>
        <v>404</v>
      </c>
      <c r="F580" s="3">
        <v>920</v>
      </c>
      <c r="G580" s="3">
        <f t="shared" si="2379"/>
        <v>516</v>
      </c>
      <c r="H580" s="49">
        <f t="shared" si="2380"/>
        <v>0.12195121951219512</v>
      </c>
      <c r="I580" s="57">
        <f t="shared" ref="I580" si="2391">(E580-E579)/E579</f>
        <v>-0.10816777041942605</v>
      </c>
      <c r="J580" s="30">
        <f t="shared" ref="J580" si="2392">E580-E579</f>
        <v>-49</v>
      </c>
      <c r="K580" s="13">
        <f t="shared" ref="K580" si="2393">(F580-F528)/F528</f>
        <v>0.26200274348422498</v>
      </c>
      <c r="L580" s="3">
        <f t="shared" ref="L580" si="2394">AVERAGE(F424,F476,F528)</f>
        <v>821.66666666666663</v>
      </c>
    </row>
    <row r="581" spans="1:12" ht="14.25" x14ac:dyDescent="0.2">
      <c r="A581" s="21">
        <f t="shared" si="2377"/>
        <v>42658</v>
      </c>
      <c r="B581" s="3">
        <v>332</v>
      </c>
      <c r="C581" s="3">
        <v>65</v>
      </c>
      <c r="D581" s="3">
        <v>183</v>
      </c>
      <c r="E581" s="3">
        <f t="shared" ref="E581" si="2395">SUM(B581:D581)</f>
        <v>580</v>
      </c>
      <c r="F581" s="3">
        <v>932</v>
      </c>
      <c r="G581" s="3">
        <f t="shared" si="2379"/>
        <v>352</v>
      </c>
      <c r="H581" s="49">
        <f t="shared" si="2380"/>
        <v>1.3043478260869565E-2</v>
      </c>
      <c r="I581" s="57">
        <f t="shared" ref="I581" si="2396">(E581-E580)/E580</f>
        <v>0.43564356435643564</v>
      </c>
      <c r="J581" s="30">
        <f t="shared" ref="J581" si="2397">E581-E580</f>
        <v>176</v>
      </c>
      <c r="K581" s="13">
        <f t="shared" ref="K581" si="2398">(F581-F529)/F529</f>
        <v>4.3673012318029114E-2</v>
      </c>
      <c r="L581" s="3">
        <f t="shared" ref="L581" si="2399">AVERAGE(F425,F477,F529)</f>
        <v>860.66666666666663</v>
      </c>
    </row>
    <row r="582" spans="1:12" ht="14.25" x14ac:dyDescent="0.2">
      <c r="A582" s="21">
        <f t="shared" si="2377"/>
        <v>42665</v>
      </c>
      <c r="B582" s="3">
        <v>404</v>
      </c>
      <c r="C582" s="3">
        <v>43</v>
      </c>
      <c r="D582" s="3">
        <v>171</v>
      </c>
      <c r="E582" s="3">
        <f t="shared" ref="E582" si="2400">SUM(B582:D582)</f>
        <v>618</v>
      </c>
      <c r="F582" s="3">
        <v>959</v>
      </c>
      <c r="G582" s="3">
        <f t="shared" si="2379"/>
        <v>341</v>
      </c>
      <c r="H582" s="49">
        <f t="shared" si="2380"/>
        <v>2.8969957081545063E-2</v>
      </c>
      <c r="I582" s="57">
        <f t="shared" ref="I582" si="2401">(E582-E581)/E581</f>
        <v>6.5517241379310351E-2</v>
      </c>
      <c r="J582" s="30">
        <f t="shared" ref="J582" si="2402">E582-E581</f>
        <v>38</v>
      </c>
      <c r="K582" s="13">
        <f t="shared" ref="K582" si="2403">(F582-F530)/F530</f>
        <v>5.1535087719298246E-2</v>
      </c>
      <c r="L582" s="3">
        <f t="shared" ref="L582" si="2404">AVERAGE(F426,F478,F530)</f>
        <v>861</v>
      </c>
    </row>
    <row r="583" spans="1:12" ht="14.25" x14ac:dyDescent="0.2">
      <c r="A583" s="21">
        <f t="shared" si="2377"/>
        <v>42672</v>
      </c>
      <c r="B583" s="3">
        <v>612</v>
      </c>
      <c r="C583" s="3">
        <v>48</v>
      </c>
      <c r="D583" s="3">
        <v>154</v>
      </c>
      <c r="E583" s="3">
        <f t="shared" ref="E583" si="2405">SUM(B583:D583)</f>
        <v>814</v>
      </c>
      <c r="F583" s="3">
        <v>965</v>
      </c>
      <c r="G583" s="3">
        <f t="shared" si="2379"/>
        <v>151</v>
      </c>
      <c r="H583" s="49">
        <f t="shared" si="2380"/>
        <v>6.2565172054223151E-3</v>
      </c>
      <c r="I583" s="57">
        <f t="shared" ref="I583" si="2406">(E583-E582)/E582</f>
        <v>0.31715210355987056</v>
      </c>
      <c r="J583" s="30">
        <f t="shared" ref="J583" si="2407">E583-E582</f>
        <v>196</v>
      </c>
      <c r="K583" s="13">
        <f t="shared" ref="K583" si="2408">(F583-F531)/F531</f>
        <v>0.32737276478679506</v>
      </c>
      <c r="L583" s="3">
        <f t="shared" ref="L583" si="2409">AVERAGE(F427,F479,F531)</f>
        <v>843.33333333333337</v>
      </c>
    </row>
    <row r="584" spans="1:12" ht="14.25" x14ac:dyDescent="0.2">
      <c r="A584" s="21">
        <f t="shared" si="2377"/>
        <v>42679</v>
      </c>
      <c r="B584" s="3">
        <v>544</v>
      </c>
      <c r="C584" s="3">
        <v>42</v>
      </c>
      <c r="D584" s="3">
        <v>156</v>
      </c>
      <c r="E584" s="3">
        <f t="shared" ref="E584" si="2410">SUM(B584:D584)</f>
        <v>742</v>
      </c>
      <c r="F584" s="3">
        <v>1043</v>
      </c>
      <c r="G584" s="3">
        <f t="shared" ref="G584" si="2411">F584-E584</f>
        <v>301</v>
      </c>
      <c r="H584" s="49">
        <f t="shared" ref="H584" si="2412">(F584-F583)/F583</f>
        <v>8.0829015544041455E-2</v>
      </c>
      <c r="I584" s="57">
        <f t="shared" ref="I584" si="2413">(E584-E583)/E583</f>
        <v>-8.8452088452088448E-2</v>
      </c>
      <c r="J584" s="30">
        <f t="shared" ref="J584" si="2414">E584-E583</f>
        <v>-72</v>
      </c>
      <c r="K584" s="13">
        <f t="shared" ref="K584" si="2415">(F584-F532)/F532</f>
        <v>0.34580645161290324</v>
      </c>
      <c r="L584" s="3">
        <f t="shared" ref="L584" si="2416">AVERAGE(F428,F480,F532)</f>
        <v>895</v>
      </c>
    </row>
    <row r="585" spans="1:12" ht="14.25" x14ac:dyDescent="0.2">
      <c r="A585" s="21">
        <f t="shared" si="2377"/>
        <v>42686</v>
      </c>
      <c r="B585" s="3">
        <v>586</v>
      </c>
      <c r="C585" s="3">
        <v>70</v>
      </c>
      <c r="D585" s="3">
        <v>183</v>
      </c>
      <c r="E585" s="3">
        <f t="shared" ref="E585" si="2417">SUM(B585:D585)</f>
        <v>839</v>
      </c>
      <c r="F585" s="3">
        <v>916</v>
      </c>
      <c r="G585" s="3">
        <f t="shared" ref="G585" si="2418">F585-E585</f>
        <v>77</v>
      </c>
      <c r="H585" s="49">
        <f t="shared" ref="H585:H590" si="2419">(F585-F584)/F584</f>
        <v>-0.12176414189837009</v>
      </c>
      <c r="I585" s="57">
        <f t="shared" ref="I585:I590" si="2420">(E585-E584)/E584</f>
        <v>0.1307277628032345</v>
      </c>
      <c r="J585" s="30">
        <f t="shared" ref="J585" si="2421">E585-E584</f>
        <v>97</v>
      </c>
      <c r="K585" s="13">
        <f t="shared" ref="K585" si="2422">(F585-F533)/F533</f>
        <v>-0.1431244153414406</v>
      </c>
      <c r="L585" s="3">
        <f t="shared" ref="L585" si="2423">AVERAGE(F429,F481,F533)</f>
        <v>1011.6666666666666</v>
      </c>
    </row>
    <row r="586" spans="1:12" ht="14.25" x14ac:dyDescent="0.2">
      <c r="A586" s="21">
        <f t="shared" si="2377"/>
        <v>42693</v>
      </c>
      <c r="B586" s="3">
        <v>579</v>
      </c>
      <c r="C586" s="3">
        <v>47</v>
      </c>
      <c r="D586" s="3">
        <v>90</v>
      </c>
      <c r="E586" s="3">
        <f t="shared" ref="E586" si="2424">SUM(B586:D586)</f>
        <v>716</v>
      </c>
      <c r="F586" s="3">
        <v>1058</v>
      </c>
      <c r="G586" s="3">
        <f t="shared" ref="G586" si="2425">F586-E586</f>
        <v>342</v>
      </c>
      <c r="H586" s="49">
        <f t="shared" si="2419"/>
        <v>0.15502183406113537</v>
      </c>
      <c r="I586" s="57">
        <f t="shared" si="2420"/>
        <v>-0.1466030989272944</v>
      </c>
      <c r="J586" s="30">
        <f t="shared" ref="J586" si="2426">E586-E585</f>
        <v>-123</v>
      </c>
      <c r="K586" s="13">
        <f t="shared" ref="K586" si="2427">(F586-F534)/F534</f>
        <v>3.7254901960784313E-2</v>
      </c>
      <c r="L586" s="3">
        <f t="shared" ref="L586" si="2428">AVERAGE(F430,F482,F534)</f>
        <v>958.33333333333337</v>
      </c>
    </row>
    <row r="587" spans="1:12" ht="14.25" x14ac:dyDescent="0.2">
      <c r="A587" s="21">
        <f t="shared" si="2377"/>
        <v>42700</v>
      </c>
      <c r="B587" s="3">
        <v>618</v>
      </c>
      <c r="C587" s="3">
        <v>56</v>
      </c>
      <c r="D587" s="3">
        <v>127</v>
      </c>
      <c r="E587" s="3">
        <f t="shared" ref="E587" si="2429">SUM(B587:D587)</f>
        <v>801</v>
      </c>
      <c r="F587" s="3">
        <v>1038</v>
      </c>
      <c r="G587" s="3">
        <f t="shared" ref="G587" si="2430">F587-E587</f>
        <v>237</v>
      </c>
      <c r="H587" s="49">
        <f t="shared" si="2419"/>
        <v>-1.890359168241966E-2</v>
      </c>
      <c r="I587" s="57">
        <f t="shared" si="2420"/>
        <v>0.11871508379888268</v>
      </c>
      <c r="J587" s="30">
        <f t="shared" ref="J587" si="2431">E587-E586</f>
        <v>85</v>
      </c>
      <c r="K587" s="13">
        <f t="shared" ref="K587" si="2432">(F587-F535)/F535</f>
        <v>-1.2369172216936251E-2</v>
      </c>
      <c r="L587" s="3">
        <f t="shared" ref="L587" si="2433">AVERAGE(F431,F483,F535)</f>
        <v>935</v>
      </c>
    </row>
    <row r="588" spans="1:12" ht="14.25" x14ac:dyDescent="0.2">
      <c r="A588" s="21">
        <f t="shared" si="2377"/>
        <v>42707</v>
      </c>
      <c r="B588" s="3">
        <v>591</v>
      </c>
      <c r="C588" s="3">
        <v>33</v>
      </c>
      <c r="D588" s="3">
        <v>59</v>
      </c>
      <c r="E588" s="3">
        <f t="shared" ref="E588" si="2434">SUM(B588:D588)</f>
        <v>683</v>
      </c>
      <c r="F588" s="3">
        <v>1007</v>
      </c>
      <c r="G588" s="3">
        <f t="shared" ref="G588" si="2435">F588-E588</f>
        <v>324</v>
      </c>
      <c r="H588" s="49">
        <f t="shared" si="2419"/>
        <v>-2.9865125240847785E-2</v>
      </c>
      <c r="I588" s="57">
        <f t="shared" si="2420"/>
        <v>-0.14731585518102372</v>
      </c>
      <c r="J588" s="30">
        <f t="shared" ref="J588" si="2436">E588-E587</f>
        <v>-118</v>
      </c>
      <c r="K588" s="13">
        <f t="shared" ref="K588" si="2437">(F588-F536)/F536</f>
        <v>0.16550925925925927</v>
      </c>
      <c r="L588" s="3">
        <f t="shared" ref="L588" si="2438">AVERAGE(F432,F484,F536)</f>
        <v>852.33333333333337</v>
      </c>
    </row>
    <row r="589" spans="1:12" ht="14.25" x14ac:dyDescent="0.2">
      <c r="A589" s="21">
        <f t="shared" si="2377"/>
        <v>42714</v>
      </c>
      <c r="B589" s="3">
        <v>509</v>
      </c>
      <c r="C589" s="3">
        <v>47</v>
      </c>
      <c r="D589" s="3">
        <v>116</v>
      </c>
      <c r="E589" s="3">
        <f t="shared" ref="E589" si="2439">SUM(B589:D589)</f>
        <v>672</v>
      </c>
      <c r="F589" s="3">
        <v>923</v>
      </c>
      <c r="G589" s="3">
        <f t="shared" ref="G589" si="2440">F589-E589</f>
        <v>251</v>
      </c>
      <c r="H589" s="49">
        <f t="shared" si="2419"/>
        <v>-8.3416087388282031E-2</v>
      </c>
      <c r="I589" s="57">
        <f t="shared" si="2420"/>
        <v>-1.6105417276720352E-2</v>
      </c>
      <c r="J589" s="30">
        <f t="shared" ref="J589" si="2441">E589-E588</f>
        <v>-11</v>
      </c>
      <c r="K589" s="13">
        <f t="shared" ref="K589" si="2442">(F589-F537)/F537</f>
        <v>-3.5527690700104496E-2</v>
      </c>
      <c r="L589" s="3">
        <f t="shared" ref="L589" si="2443">AVERAGE(F433,F485,F537)</f>
        <v>907.33333333333337</v>
      </c>
    </row>
    <row r="590" spans="1:12" ht="14.25" x14ac:dyDescent="0.2">
      <c r="A590" s="21">
        <f t="shared" si="2377"/>
        <v>42721</v>
      </c>
      <c r="B590" s="3">
        <v>341</v>
      </c>
      <c r="C590" s="3">
        <v>33</v>
      </c>
      <c r="D590" s="3">
        <v>109</v>
      </c>
      <c r="E590" s="3">
        <f t="shared" ref="E590" si="2444">SUM(B590:D590)</f>
        <v>483</v>
      </c>
      <c r="F590" s="3">
        <v>866</v>
      </c>
      <c r="G590" s="3">
        <f t="shared" ref="G590" si="2445">F590-E590</f>
        <v>383</v>
      </c>
      <c r="H590" s="49">
        <f t="shared" si="2419"/>
        <v>-6.1755146262188518E-2</v>
      </c>
      <c r="I590" s="57">
        <f t="shared" si="2420"/>
        <v>-0.28125</v>
      </c>
      <c r="J590" s="30">
        <f t="shared" ref="J590" si="2446">E590-E589</f>
        <v>-189</v>
      </c>
      <c r="K590" s="13">
        <f t="shared" ref="K590" si="2447">(F590-F538)/F538</f>
        <v>-0.11451942740286299</v>
      </c>
      <c r="L590" s="3">
        <f t="shared" ref="L590" si="2448">AVERAGE(F434,F486,F538)</f>
        <v>925</v>
      </c>
    </row>
    <row r="591" spans="1:12" ht="14.25" x14ac:dyDescent="0.2">
      <c r="A591" s="21">
        <f t="shared" si="2377"/>
        <v>42728</v>
      </c>
      <c r="B591" s="3">
        <v>220</v>
      </c>
      <c r="C591" s="3">
        <v>49</v>
      </c>
      <c r="D591" s="3">
        <v>128</v>
      </c>
      <c r="E591" s="3">
        <f t="shared" ref="E591" si="2449">SUM(B591:D591)</f>
        <v>397</v>
      </c>
      <c r="F591" s="3">
        <v>932</v>
      </c>
      <c r="G591" s="3">
        <f t="shared" ref="G591" si="2450">F591-E591</f>
        <v>535</v>
      </c>
      <c r="H591" s="49">
        <f t="shared" ref="H591" si="2451">(F591-F590)/F590</f>
        <v>7.6212471131639717E-2</v>
      </c>
      <c r="I591" s="57">
        <f t="shared" ref="I591" si="2452">(E591-E590)/E590</f>
        <v>-0.17805383022774326</v>
      </c>
      <c r="J591" s="30">
        <f t="shared" ref="J591" si="2453">E591-E590</f>
        <v>-86</v>
      </c>
      <c r="K591" s="13">
        <f t="shared" ref="K591" si="2454">(F591-F539)/F539</f>
        <v>0.50809061488673135</v>
      </c>
      <c r="L591" s="3">
        <f t="shared" ref="L591" si="2455">AVERAGE(F435,F487,F539)</f>
        <v>589.33333333333337</v>
      </c>
    </row>
    <row r="592" spans="1:12" ht="14.25" x14ac:dyDescent="0.2">
      <c r="A592" s="21">
        <f t="shared" si="2377"/>
        <v>42735</v>
      </c>
      <c r="B592" s="3">
        <v>389</v>
      </c>
      <c r="C592" s="3">
        <v>51</v>
      </c>
      <c r="D592" s="3">
        <v>102</v>
      </c>
      <c r="E592" s="3">
        <f t="shared" ref="E592" si="2456">SUM(B592:D592)</f>
        <v>542</v>
      </c>
      <c r="F592" s="3">
        <v>817</v>
      </c>
      <c r="G592" s="3">
        <f t="shared" ref="G592" si="2457">F592-E592</f>
        <v>275</v>
      </c>
      <c r="H592" s="49">
        <f t="shared" ref="H592" si="2458">(F592-F591)/F591</f>
        <v>-0.12339055793991416</v>
      </c>
      <c r="I592" s="57">
        <f t="shared" ref="I592" si="2459">(E592-E591)/E591</f>
        <v>0.36523929471032746</v>
      </c>
      <c r="J592" s="30">
        <f t="shared" ref="J592" si="2460">E592-E591</f>
        <v>145</v>
      </c>
      <c r="K592" s="13">
        <f t="shared" ref="K592" si="2461">(F592-F540)/F540</f>
        <v>4.9200492004920051E-3</v>
      </c>
      <c r="L592" s="3">
        <f t="shared" ref="L592" si="2462">AVERAGE(F436,F488,F540)</f>
        <v>748.33333333333337</v>
      </c>
    </row>
    <row r="593" spans="1:15" ht="14.25" x14ac:dyDescent="0.2">
      <c r="A593" s="21">
        <f t="shared" si="2377"/>
        <v>42742</v>
      </c>
      <c r="B593" s="3">
        <v>251</v>
      </c>
      <c r="C593" s="3">
        <v>29</v>
      </c>
      <c r="D593" s="3">
        <v>141</v>
      </c>
      <c r="E593" s="3">
        <f t="shared" ref="E593" si="2463">SUM(B593:D593)</f>
        <v>421</v>
      </c>
      <c r="F593" s="3">
        <v>673</v>
      </c>
      <c r="G593" s="3">
        <f t="shared" ref="G593" si="2464">F593-E593</f>
        <v>252</v>
      </c>
      <c r="H593" s="49">
        <f t="shared" ref="H593" si="2465">(F593-F592)/F592</f>
        <v>-0.17625458996328031</v>
      </c>
      <c r="I593" s="57">
        <f t="shared" ref="I593" si="2466">(E593-E592)/E592</f>
        <v>-0.22324723247232472</v>
      </c>
      <c r="J593" s="30">
        <f t="shared" ref="J593" si="2467">E593-E592</f>
        <v>-121</v>
      </c>
      <c r="K593" s="13">
        <f t="shared" ref="K593" si="2468">(F593-F541)/F541</f>
        <v>-0.16084788029925187</v>
      </c>
      <c r="L593" s="3">
        <f t="shared" ref="L593" si="2469">AVERAGE(F437,F489,F541)</f>
        <v>840.33333333333337</v>
      </c>
      <c r="O593" s="3"/>
    </row>
    <row r="594" spans="1:15" ht="14.25" x14ac:dyDescent="0.2">
      <c r="A594" s="21">
        <f t="shared" si="2377"/>
        <v>42749</v>
      </c>
      <c r="B594" s="3">
        <v>220</v>
      </c>
      <c r="C594" s="3">
        <v>37</v>
      </c>
      <c r="D594" s="3">
        <v>181</v>
      </c>
      <c r="E594" s="3">
        <f t="shared" ref="E594" si="2470">SUM(B594:D594)</f>
        <v>438</v>
      </c>
      <c r="F594" s="3">
        <v>834</v>
      </c>
      <c r="G594" s="3">
        <f t="shared" ref="G594" si="2471">F594-E594</f>
        <v>396</v>
      </c>
      <c r="H594" s="49">
        <f t="shared" ref="H594" si="2472">(F594-F593)/F593</f>
        <v>0.23922734026745915</v>
      </c>
      <c r="I594" s="57">
        <f t="shared" ref="I594" si="2473">(E594-E593)/E593</f>
        <v>4.0380047505938245E-2</v>
      </c>
      <c r="J594" s="30">
        <f t="shared" ref="J594" si="2474">E594-E593</f>
        <v>17</v>
      </c>
      <c r="K594" s="13">
        <f t="shared" ref="K594" si="2475">(F594-F542)/F542</f>
        <v>0.25225225225225223</v>
      </c>
      <c r="L594" s="3">
        <f t="shared" ref="L594" si="2476">AVERAGE(F438,F490,F542)</f>
        <v>801.66666666666663</v>
      </c>
    </row>
    <row r="595" spans="1:15" ht="14.25" x14ac:dyDescent="0.2">
      <c r="A595" s="21">
        <f t="shared" si="2377"/>
        <v>42756</v>
      </c>
      <c r="B595" s="3">
        <v>254</v>
      </c>
      <c r="C595" s="3">
        <v>46</v>
      </c>
      <c r="D595" s="3">
        <v>163</v>
      </c>
      <c r="E595" s="3">
        <f t="shared" ref="E595" si="2477">SUM(B595:D595)</f>
        <v>463</v>
      </c>
      <c r="F595" s="3">
        <v>858</v>
      </c>
      <c r="G595" s="3">
        <f t="shared" ref="G595" si="2478">F595-E595</f>
        <v>395</v>
      </c>
      <c r="H595" s="49">
        <f t="shared" ref="H595" si="2479">(F595-F594)/F594</f>
        <v>2.8776978417266189E-2</v>
      </c>
      <c r="I595" s="57">
        <f t="shared" ref="I595" si="2480">(E595-E594)/E594</f>
        <v>5.7077625570776253E-2</v>
      </c>
      <c r="J595" s="30">
        <f t="shared" ref="J595" si="2481">E595-E594</f>
        <v>25</v>
      </c>
      <c r="K595" s="13">
        <f t="shared" ref="K595" si="2482">(F595-F543)/F543</f>
        <v>0.3619047619047619</v>
      </c>
      <c r="L595" s="3">
        <f t="shared" ref="L595" si="2483">AVERAGE(F439,F491,F543)</f>
        <v>733.66666666666663</v>
      </c>
    </row>
    <row r="596" spans="1:15" ht="14.25" x14ac:dyDescent="0.2">
      <c r="A596" s="21">
        <f t="shared" si="2377"/>
        <v>42763</v>
      </c>
      <c r="B596" s="3">
        <v>239</v>
      </c>
      <c r="C596" s="3">
        <v>49</v>
      </c>
      <c r="D596" s="3">
        <v>155</v>
      </c>
      <c r="E596" s="3">
        <f t="shared" ref="E596" si="2484">SUM(B596:D596)</f>
        <v>443</v>
      </c>
      <c r="F596" s="3">
        <v>1008</v>
      </c>
      <c r="G596" s="3">
        <f t="shared" ref="G596" si="2485">F596-E596</f>
        <v>565</v>
      </c>
      <c r="H596" s="49">
        <f t="shared" ref="H596" si="2486">(F596-F595)/F595</f>
        <v>0.17482517482517482</v>
      </c>
      <c r="I596" s="57">
        <f t="shared" ref="I596" si="2487">(E596-E595)/E595</f>
        <v>-4.3196544276457881E-2</v>
      </c>
      <c r="J596" s="30">
        <f t="shared" ref="J596" si="2488">E596-E595</f>
        <v>-20</v>
      </c>
      <c r="K596" s="13">
        <f t="shared" ref="K596" si="2489">(F596-F544)/F544</f>
        <v>0.89830508474576276</v>
      </c>
      <c r="L596" s="3">
        <f t="shared" ref="L596" si="2490">AVERAGE(F440,F492,F544)</f>
        <v>666.66666666666663</v>
      </c>
    </row>
    <row r="597" spans="1:15" ht="14.25" x14ac:dyDescent="0.2">
      <c r="A597" s="21">
        <f t="shared" si="2377"/>
        <v>42770</v>
      </c>
      <c r="B597" s="3">
        <v>205</v>
      </c>
      <c r="C597" s="3">
        <v>49</v>
      </c>
      <c r="D597" s="3">
        <v>202</v>
      </c>
      <c r="E597" s="3">
        <f t="shared" ref="E597" si="2491">SUM(B597:D597)</f>
        <v>456</v>
      </c>
      <c r="F597" s="3">
        <v>947</v>
      </c>
      <c r="G597" s="3">
        <f t="shared" ref="G597" si="2492">F597-E597</f>
        <v>491</v>
      </c>
      <c r="H597" s="49">
        <f t="shared" ref="H597" si="2493">(F597-F596)/F596</f>
        <v>-6.0515873015873016E-2</v>
      </c>
      <c r="I597" s="57">
        <f t="shared" ref="I597" si="2494">(E597-E596)/E596</f>
        <v>2.9345372460496615E-2</v>
      </c>
      <c r="J597" s="30">
        <f t="shared" ref="J597" si="2495">E597-E596</f>
        <v>13</v>
      </c>
      <c r="K597" s="13">
        <f t="shared" ref="K597" si="2496">(F597-F545)/F545</f>
        <v>0.36258992805755397</v>
      </c>
      <c r="L597" s="3">
        <f t="shared" ref="L597" si="2497">AVERAGE(F441,F493,F545)</f>
        <v>759</v>
      </c>
    </row>
    <row r="598" spans="1:15" ht="14.25" x14ac:dyDescent="0.2">
      <c r="A598" s="21">
        <f t="shared" si="2377"/>
        <v>42777</v>
      </c>
      <c r="B598" s="3">
        <v>187</v>
      </c>
      <c r="C598" s="3">
        <v>43</v>
      </c>
      <c r="D598" s="3">
        <v>186</v>
      </c>
      <c r="E598" s="3">
        <f t="shared" ref="E598" si="2498">SUM(B598:D598)</f>
        <v>416</v>
      </c>
      <c r="F598" s="3">
        <v>941</v>
      </c>
      <c r="G598" s="3">
        <f t="shared" ref="G598" si="2499">F598-E598</f>
        <v>525</v>
      </c>
      <c r="H598" s="49">
        <f t="shared" ref="H598" si="2500">(F598-F597)/F597</f>
        <v>-6.3357972544878568E-3</v>
      </c>
      <c r="I598" s="57">
        <f t="shared" ref="I598" si="2501">(E598-E597)/E597</f>
        <v>-8.771929824561403E-2</v>
      </c>
      <c r="J598" s="30">
        <f t="shared" ref="J598" si="2502">E598-E597</f>
        <v>-40</v>
      </c>
      <c r="K598" s="13">
        <f t="shared" ref="K598" si="2503">(F598-F546)/F546</f>
        <v>0.11757719714964371</v>
      </c>
      <c r="L598" s="3">
        <f t="shared" ref="L598" si="2504">AVERAGE(F442,F494,F546)</f>
        <v>812</v>
      </c>
    </row>
    <row r="599" spans="1:15" ht="14.25" x14ac:dyDescent="0.2">
      <c r="A599" s="21">
        <f t="shared" si="2377"/>
        <v>42784</v>
      </c>
      <c r="B599" s="3">
        <v>273</v>
      </c>
      <c r="C599" s="3">
        <v>53</v>
      </c>
      <c r="D599" s="3">
        <v>150</v>
      </c>
      <c r="E599" s="3">
        <f t="shared" ref="E599" si="2505">SUM(B599:D599)</f>
        <v>476</v>
      </c>
      <c r="F599" s="3">
        <v>888</v>
      </c>
      <c r="G599" s="3">
        <f t="shared" ref="G599" si="2506">F599-E599</f>
        <v>412</v>
      </c>
      <c r="H599" s="49">
        <f t="shared" ref="H599" si="2507">(F599-F598)/F598</f>
        <v>-5.6323060573857602E-2</v>
      </c>
      <c r="I599" s="57">
        <f t="shared" ref="I599" si="2508">(E599-E598)/E598</f>
        <v>0.14423076923076922</v>
      </c>
      <c r="J599" s="30">
        <f t="shared" ref="J599" si="2509">E599-E598</f>
        <v>60</v>
      </c>
      <c r="K599" s="13">
        <f t="shared" ref="K599" si="2510">(F599-F547)/F547</f>
        <v>3.8596491228070177E-2</v>
      </c>
      <c r="L599" s="3">
        <f t="shared" ref="L599" si="2511">AVERAGE(F443,F495,F547)</f>
        <v>788.66666666666663</v>
      </c>
    </row>
    <row r="600" spans="1:15" ht="14.25" x14ac:dyDescent="0.2">
      <c r="A600" s="21">
        <f t="shared" si="2377"/>
        <v>42791</v>
      </c>
      <c r="B600" s="3">
        <v>184</v>
      </c>
      <c r="C600" s="3">
        <v>33</v>
      </c>
      <c r="D600" s="3">
        <v>111</v>
      </c>
      <c r="E600" s="3">
        <f t="shared" ref="E600" si="2512">SUM(B600:D600)</f>
        <v>328</v>
      </c>
      <c r="F600" s="3">
        <v>815</v>
      </c>
      <c r="G600" s="3">
        <f t="shared" ref="G600" si="2513">F600-E600</f>
        <v>487</v>
      </c>
      <c r="H600" s="49">
        <f t="shared" ref="H600" si="2514">(F600-F599)/F599</f>
        <v>-8.2207207207207214E-2</v>
      </c>
      <c r="I600" s="57">
        <f t="shared" ref="I600" si="2515">(E600-E599)/E599</f>
        <v>-0.31092436974789917</v>
      </c>
      <c r="J600" s="30">
        <f t="shared" ref="J600" si="2516">E600-E599</f>
        <v>-148</v>
      </c>
      <c r="K600" s="13">
        <f t="shared" ref="K600" si="2517">(F600-F548)/F548</f>
        <v>0.11035422343324251</v>
      </c>
      <c r="L600" s="3">
        <f t="shared" ref="L600" si="2518">AVERAGE(F444,F496,F548)</f>
        <v>723</v>
      </c>
    </row>
    <row r="601" spans="1:15" ht="14.25" x14ac:dyDescent="0.2">
      <c r="A601" s="21">
        <f t="shared" si="2377"/>
        <v>42798</v>
      </c>
      <c r="B601" s="3">
        <v>305</v>
      </c>
      <c r="C601" s="3">
        <v>41</v>
      </c>
      <c r="D601" s="3">
        <v>163</v>
      </c>
      <c r="E601" s="3">
        <f t="shared" ref="E601" si="2519">SUM(B601:D601)</f>
        <v>509</v>
      </c>
      <c r="F601" s="3">
        <v>823</v>
      </c>
      <c r="G601" s="3">
        <f t="shared" ref="G601" si="2520">F601-E601</f>
        <v>314</v>
      </c>
      <c r="H601" s="49">
        <f t="shared" ref="H601" si="2521">(F601-F600)/F600</f>
        <v>9.8159509202453993E-3</v>
      </c>
      <c r="I601" s="57">
        <f t="shared" ref="I601" si="2522">(E601-E600)/E600</f>
        <v>0.55182926829268297</v>
      </c>
      <c r="J601" s="30">
        <f t="shared" ref="J601" si="2523">E601-E600</f>
        <v>181</v>
      </c>
      <c r="K601" s="13">
        <f t="shared" ref="K601" si="2524">(F601-F549)/F549</f>
        <v>3.5220125786163521E-2</v>
      </c>
      <c r="L601" s="3">
        <f t="shared" ref="L601" si="2525">AVERAGE(F445,F497,F549)</f>
        <v>669</v>
      </c>
    </row>
    <row r="602" spans="1:15" ht="14.25" x14ac:dyDescent="0.2">
      <c r="A602" s="21">
        <f t="shared" si="2377"/>
        <v>42805</v>
      </c>
      <c r="B602" s="3">
        <v>289</v>
      </c>
      <c r="C602" s="3">
        <v>53</v>
      </c>
      <c r="D602" s="3">
        <v>167</v>
      </c>
      <c r="E602" s="3">
        <f t="shared" ref="E602" si="2526">SUM(B602:D602)</f>
        <v>509</v>
      </c>
      <c r="F602" s="3">
        <v>796</v>
      </c>
      <c r="G602" s="3">
        <f t="shared" ref="G602" si="2527">F602-E602</f>
        <v>287</v>
      </c>
      <c r="H602" s="49">
        <f t="shared" ref="H602" si="2528">(F602-F601)/F601</f>
        <v>-3.2806804374240585E-2</v>
      </c>
      <c r="I602" s="57">
        <f t="shared" ref="I602" si="2529">(E602-E601)/E601</f>
        <v>0</v>
      </c>
      <c r="J602" s="30">
        <f t="shared" ref="J602" si="2530">E602-E601</f>
        <v>0</v>
      </c>
      <c r="K602" s="13">
        <f t="shared" ref="K602" si="2531">(F602-F550)/F550</f>
        <v>0.50188679245283019</v>
      </c>
      <c r="L602" s="3">
        <f t="shared" ref="L602" si="2532">AVERAGE(F446,F498,F550)</f>
        <v>597.66666666666663</v>
      </c>
    </row>
    <row r="603" spans="1:15" ht="14.25" x14ac:dyDescent="0.2">
      <c r="A603" s="21">
        <f t="shared" si="2377"/>
        <v>42812</v>
      </c>
      <c r="B603" s="3">
        <v>387</v>
      </c>
      <c r="C603" s="3">
        <v>33</v>
      </c>
      <c r="D603" s="3">
        <v>127</v>
      </c>
      <c r="E603" s="3">
        <f t="shared" ref="E603" si="2533">SUM(B603:D603)</f>
        <v>547</v>
      </c>
      <c r="F603" s="3">
        <v>657</v>
      </c>
      <c r="G603" s="3">
        <f t="shared" ref="G603" si="2534">F603-E603</f>
        <v>110</v>
      </c>
      <c r="H603" s="49">
        <f t="shared" ref="H603" si="2535">(F603-F602)/F602</f>
        <v>-0.17462311557788945</v>
      </c>
      <c r="I603" s="57">
        <f t="shared" ref="I603" si="2536">(E603-E602)/E602</f>
        <v>7.4656188605108059E-2</v>
      </c>
      <c r="J603" s="30">
        <f t="shared" ref="J603" si="2537">E603-E602</f>
        <v>38</v>
      </c>
      <c r="K603" s="13">
        <f t="shared" ref="K603" si="2538">(F603-F551)/F551</f>
        <v>0.13471502590673576</v>
      </c>
      <c r="L603" s="3">
        <f t="shared" ref="L603" si="2539">AVERAGE(F447,F499,F551)</f>
        <v>604.33333333333337</v>
      </c>
    </row>
    <row r="604" spans="1:15" ht="14.25" x14ac:dyDescent="0.2">
      <c r="A604" s="21">
        <f t="shared" si="2377"/>
        <v>42819</v>
      </c>
      <c r="B604" s="3">
        <v>476</v>
      </c>
      <c r="C604" s="3">
        <v>43</v>
      </c>
      <c r="D604" s="3">
        <v>149</v>
      </c>
      <c r="E604" s="3">
        <f t="shared" ref="E604" si="2540">SUM(B604:D604)</f>
        <v>668</v>
      </c>
      <c r="F604" s="3">
        <v>793</v>
      </c>
      <c r="G604" s="3">
        <f t="shared" ref="G604" si="2541">F604-E604</f>
        <v>125</v>
      </c>
      <c r="H604" s="49">
        <f t="shared" ref="H604" si="2542">(F604-F603)/F603</f>
        <v>0.20700152207001521</v>
      </c>
      <c r="I604" s="57">
        <f t="shared" ref="I604" si="2543">(E604-E603)/E603</f>
        <v>0.22120658135283364</v>
      </c>
      <c r="J604" s="30">
        <f t="shared" ref="J604" si="2544">E604-E603</f>
        <v>121</v>
      </c>
      <c r="K604" s="13">
        <f t="shared" ref="K604" si="2545">(F604-F552)/F552</f>
        <v>0.63505154639175254</v>
      </c>
      <c r="L604" s="3">
        <f t="shared" ref="L604" si="2546">AVERAGE(F448,F500,F552)</f>
        <v>623</v>
      </c>
    </row>
    <row r="605" spans="1:15" ht="14.25" x14ac:dyDescent="0.2">
      <c r="A605" s="21">
        <f t="shared" si="2377"/>
        <v>42826</v>
      </c>
      <c r="B605" s="3">
        <v>423</v>
      </c>
      <c r="C605" s="3">
        <v>31</v>
      </c>
      <c r="D605" s="3">
        <v>81</v>
      </c>
      <c r="E605" s="3">
        <f t="shared" ref="E605" si="2547">SUM(B605:D605)</f>
        <v>535</v>
      </c>
      <c r="F605" s="3">
        <v>840</v>
      </c>
      <c r="G605" s="3">
        <f t="shared" ref="G605" si="2548">F605-E605</f>
        <v>305</v>
      </c>
      <c r="H605" s="49">
        <f t="shared" ref="H605" si="2549">(F605-F604)/F604</f>
        <v>5.9268600252206809E-2</v>
      </c>
      <c r="I605" s="57">
        <f t="shared" ref="I605" si="2550">(E605-E604)/E604</f>
        <v>-0.19910179640718562</v>
      </c>
      <c r="J605" s="30">
        <f t="shared" ref="J605" si="2551">E605-E604</f>
        <v>-133</v>
      </c>
      <c r="K605" s="13">
        <f t="shared" ref="K605" si="2552">(F605-F553)/F553</f>
        <v>0.6</v>
      </c>
      <c r="L605" s="3">
        <f t="shared" ref="L605" si="2553">AVERAGE(F449,F501,F553)</f>
        <v>561.66666666666663</v>
      </c>
    </row>
    <row r="606" spans="1:15" ht="14.25" x14ac:dyDescent="0.2">
      <c r="A606" s="21">
        <f t="shared" si="2377"/>
        <v>42833</v>
      </c>
      <c r="B606" s="3">
        <v>345</v>
      </c>
      <c r="C606" s="3">
        <v>39</v>
      </c>
      <c r="D606" s="3">
        <v>81</v>
      </c>
      <c r="E606" s="3">
        <f t="shared" ref="E606" si="2554">SUM(B606:D606)</f>
        <v>465</v>
      </c>
      <c r="F606" s="52">
        <v>654</v>
      </c>
      <c r="G606" s="3">
        <f t="shared" ref="G606" si="2555">F606-E606</f>
        <v>189</v>
      </c>
      <c r="H606" s="49">
        <f t="shared" ref="H606" si="2556">(F606-F605)/F605</f>
        <v>-0.22142857142857142</v>
      </c>
      <c r="I606" s="57">
        <f t="shared" ref="I606" si="2557">(E606-E605)/E605</f>
        <v>-0.13084112149532709</v>
      </c>
      <c r="J606" s="30">
        <f t="shared" ref="J606" si="2558">E606-E605</f>
        <v>-70</v>
      </c>
      <c r="K606" s="13">
        <f t="shared" ref="K606" si="2559">(F606-F554)/F554</f>
        <v>1.3953488372093023E-2</v>
      </c>
      <c r="L606" s="3">
        <f t="shared" ref="L606" si="2560">AVERAGE(F450,F502,F554)</f>
        <v>610.66666666666663</v>
      </c>
      <c r="O606" s="3"/>
    </row>
    <row r="607" spans="1:15" ht="14.25" x14ac:dyDescent="0.2">
      <c r="A607" s="21">
        <f t="shared" si="2377"/>
        <v>42840</v>
      </c>
      <c r="B607" s="3">
        <v>339</v>
      </c>
      <c r="C607" s="3">
        <v>38</v>
      </c>
      <c r="D607" s="3">
        <v>66</v>
      </c>
      <c r="E607" s="3">
        <f t="shared" ref="E607" si="2561">SUM(B607:D607)</f>
        <v>443</v>
      </c>
      <c r="F607" s="52">
        <v>649</v>
      </c>
      <c r="G607" s="3">
        <f t="shared" ref="G607" si="2562">F607-E607</f>
        <v>206</v>
      </c>
      <c r="H607" s="49">
        <f t="shared" ref="H607" si="2563">(F607-F606)/F606</f>
        <v>-7.6452599388379203E-3</v>
      </c>
      <c r="I607" s="57">
        <f t="shared" ref="I607" si="2564">(E607-E606)/E606</f>
        <v>-4.7311827956989246E-2</v>
      </c>
      <c r="J607" s="30">
        <f t="shared" ref="J607" si="2565">E607-E606</f>
        <v>-22</v>
      </c>
      <c r="K607" s="13">
        <f t="shared" ref="K607" si="2566">(F607-F555)/F555</f>
        <v>0.18864468864468864</v>
      </c>
      <c r="L607" s="3">
        <f t="shared" ref="L607" si="2567">AVERAGE(F451,F503,F555)</f>
        <v>535</v>
      </c>
    </row>
    <row r="608" spans="1:15" ht="14.25" x14ac:dyDescent="0.2">
      <c r="A608" s="21">
        <f t="shared" si="2377"/>
        <v>42847</v>
      </c>
      <c r="B608" s="3">
        <v>552</v>
      </c>
      <c r="C608" s="3">
        <v>35</v>
      </c>
      <c r="D608" s="3">
        <v>68</v>
      </c>
      <c r="E608" s="3">
        <f t="shared" ref="E608" si="2568">SUM(B608:D608)</f>
        <v>655</v>
      </c>
      <c r="F608" s="52">
        <v>617</v>
      </c>
      <c r="G608" s="3">
        <f>F608-E608</f>
        <v>-38</v>
      </c>
      <c r="H608" s="49">
        <f t="shared" ref="H608" si="2569">(F608-F607)/F607</f>
        <v>-4.930662557781202E-2</v>
      </c>
      <c r="I608" s="57">
        <f t="shared" ref="I608" si="2570">(E608-E607)/E607</f>
        <v>0.47855530474040631</v>
      </c>
      <c r="J608" s="30">
        <f t="shared" ref="J608" si="2571">E608-E607</f>
        <v>212</v>
      </c>
      <c r="K608" s="13">
        <f t="shared" ref="K608" si="2572">(F608-F556)/F556</f>
        <v>-0.10319767441860465</v>
      </c>
      <c r="L608" s="3">
        <f t="shared" ref="L608" si="2573">AVERAGE(F452,F504,F556)</f>
        <v>629</v>
      </c>
    </row>
    <row r="609" spans="1:12" ht="14.25" x14ac:dyDescent="0.2">
      <c r="A609" s="21">
        <f t="shared" si="2377"/>
        <v>42854</v>
      </c>
      <c r="B609" s="3">
        <v>450</v>
      </c>
      <c r="C609" s="3">
        <v>20</v>
      </c>
      <c r="D609" s="3">
        <v>64</v>
      </c>
      <c r="E609" s="3">
        <f t="shared" ref="E609" si="2574">SUM(B609:D609)</f>
        <v>534</v>
      </c>
      <c r="F609" s="52">
        <v>548</v>
      </c>
      <c r="G609" s="3">
        <f t="shared" ref="G609" si="2575">F609-E609</f>
        <v>14</v>
      </c>
      <c r="H609" s="49">
        <f t="shared" ref="H609" si="2576">(F609-F608)/F608</f>
        <v>-0.11183144246353323</v>
      </c>
      <c r="I609" s="57">
        <f t="shared" ref="I609" si="2577">(E609-E608)/E608</f>
        <v>-0.18473282442748093</v>
      </c>
      <c r="J609" s="30">
        <f t="shared" ref="J609" si="2578">E609-E608</f>
        <v>-121</v>
      </c>
      <c r="K609" s="13">
        <f t="shared" ref="K609" si="2579">(F609-F557)/F557</f>
        <v>-8.3612040133779264E-2</v>
      </c>
      <c r="L609" s="3">
        <f t="shared" ref="L609" si="2580">AVERAGE(F453,F505,F557)</f>
        <v>597.66666666666663</v>
      </c>
    </row>
    <row r="610" spans="1:12" ht="14.25" x14ac:dyDescent="0.2">
      <c r="A610" s="21">
        <f t="shared" si="2377"/>
        <v>42861</v>
      </c>
      <c r="B610" s="3">
        <v>161</v>
      </c>
      <c r="C610" s="3">
        <v>1</v>
      </c>
      <c r="D610" s="3">
        <v>42</v>
      </c>
      <c r="E610" s="3">
        <f t="shared" ref="E610" si="2581">SUM(B610:D610)</f>
        <v>204</v>
      </c>
      <c r="F610" s="52">
        <v>506</v>
      </c>
      <c r="G610" s="3">
        <f t="shared" ref="G610" si="2582">F610-E610</f>
        <v>302</v>
      </c>
      <c r="H610" s="49">
        <f t="shared" ref="H610" si="2583">(F610-F609)/F609</f>
        <v>-7.6642335766423361E-2</v>
      </c>
      <c r="I610" s="57">
        <f t="shared" ref="I610" si="2584">(E610-E609)/E609</f>
        <v>-0.6179775280898876</v>
      </c>
      <c r="J610" s="30">
        <f t="shared" ref="J610" si="2585">E610-E609</f>
        <v>-330</v>
      </c>
      <c r="K610" s="13">
        <f t="shared" ref="K610" si="2586">(F610-F558)/F558</f>
        <v>-0.20813771517996871</v>
      </c>
      <c r="L610" s="3">
        <f t="shared" ref="L610" si="2587">AVERAGE(F454,F506,F558)</f>
        <v>602.33333333333337</v>
      </c>
    </row>
    <row r="611" spans="1:12" ht="14.25" x14ac:dyDescent="0.2">
      <c r="A611" s="21">
        <f t="shared" si="2377"/>
        <v>42868</v>
      </c>
      <c r="B611" s="3">
        <v>547</v>
      </c>
      <c r="C611" s="3">
        <v>0</v>
      </c>
      <c r="D611" s="3">
        <v>75</v>
      </c>
      <c r="E611" s="3">
        <f t="shared" ref="E611" si="2588">SUM(B611:D611)</f>
        <v>622</v>
      </c>
      <c r="F611" s="52">
        <v>519</v>
      </c>
      <c r="G611" s="3">
        <f t="shared" ref="G611" si="2589">F611-E611</f>
        <v>-103</v>
      </c>
      <c r="H611" s="49">
        <f t="shared" ref="H611" si="2590">(F611-F610)/F610</f>
        <v>2.5691699604743084E-2</v>
      </c>
      <c r="I611" s="57">
        <f t="shared" ref="I611" si="2591">(E611-E610)/E610</f>
        <v>2.0490196078431371</v>
      </c>
      <c r="J611" s="30">
        <f t="shared" ref="J611" si="2592">E611-E610</f>
        <v>418</v>
      </c>
      <c r="K611" s="13">
        <f t="shared" ref="K611" si="2593">(F611-F559)/F559</f>
        <v>-0.15883306320907617</v>
      </c>
      <c r="L611" s="3">
        <f t="shared" ref="L611" si="2594">AVERAGE(F455,F507,F559)</f>
        <v>619.33333333333337</v>
      </c>
    </row>
    <row r="612" spans="1:12" ht="14.25" x14ac:dyDescent="0.2">
      <c r="A612" s="21">
        <f t="shared" si="2377"/>
        <v>42875</v>
      </c>
      <c r="B612" s="3">
        <v>352</v>
      </c>
      <c r="C612" s="3">
        <v>34</v>
      </c>
      <c r="D612" s="3">
        <v>32</v>
      </c>
      <c r="E612" s="3">
        <f t="shared" ref="E612" si="2595">SUM(B612:D612)</f>
        <v>418</v>
      </c>
      <c r="F612" s="52">
        <v>491</v>
      </c>
      <c r="G612" s="3">
        <f t="shared" ref="G612" si="2596">F612-E612</f>
        <v>73</v>
      </c>
      <c r="H612" s="49">
        <f t="shared" ref="H612" si="2597">(F612-F611)/F611</f>
        <v>-5.3949903660886318E-2</v>
      </c>
      <c r="I612" s="57">
        <f t="shared" ref="I612" si="2598">(E612-E611)/E611</f>
        <v>-0.32797427652733119</v>
      </c>
      <c r="J612" s="30">
        <f t="shared" ref="J612" si="2599">E612-E611</f>
        <v>-204</v>
      </c>
      <c r="K612" s="13">
        <f t="shared" ref="K612" si="2600">(F612-F560)/F560</f>
        <v>-1.4056224899598393E-2</v>
      </c>
      <c r="L612" s="3">
        <f t="shared" ref="L612" si="2601">AVERAGE(F456,F508,F560)</f>
        <v>570.66666666666663</v>
      </c>
    </row>
    <row r="613" spans="1:12" ht="14.25" x14ac:dyDescent="0.2">
      <c r="A613" s="21">
        <f t="shared" si="2377"/>
        <v>42882</v>
      </c>
      <c r="B613" s="3">
        <v>420</v>
      </c>
      <c r="C613" s="3">
        <v>0</v>
      </c>
      <c r="D613" s="3">
        <v>62</v>
      </c>
      <c r="E613" s="3">
        <f t="shared" ref="E613" si="2602">SUM(B613:D613)</f>
        <v>482</v>
      </c>
      <c r="F613" s="52">
        <v>533</v>
      </c>
      <c r="G613" s="3">
        <f t="shared" ref="G613" si="2603">F613-E613</f>
        <v>51</v>
      </c>
      <c r="H613" s="49">
        <f t="shared" ref="H613" si="2604">(F613-F612)/F612</f>
        <v>8.5539714867617106E-2</v>
      </c>
      <c r="I613" s="57">
        <f t="shared" ref="I613" si="2605">(E613-E612)/E612</f>
        <v>0.15311004784688995</v>
      </c>
      <c r="J613" s="30">
        <f t="shared" ref="J613" si="2606">E613-E612</f>
        <v>64</v>
      </c>
      <c r="K613" s="13">
        <f t="shared" ref="K613" si="2607">(F613-F561)/F561</f>
        <v>0.14623655913978495</v>
      </c>
      <c r="L613" s="3">
        <f t="shared" ref="L613" si="2608">AVERAGE(F457,F509,F561)</f>
        <v>446.66666666666669</v>
      </c>
    </row>
    <row r="614" spans="1:12" ht="14.25" x14ac:dyDescent="0.2">
      <c r="A614" s="21">
        <f t="shared" si="2377"/>
        <v>42889</v>
      </c>
      <c r="B614" s="3">
        <v>536</v>
      </c>
      <c r="C614" s="3">
        <v>16</v>
      </c>
      <c r="D614" s="3">
        <v>60</v>
      </c>
      <c r="E614" s="3">
        <f t="shared" ref="E614" si="2609">SUM(B614:D614)</f>
        <v>612</v>
      </c>
      <c r="F614" s="52">
        <v>467</v>
      </c>
      <c r="G614" s="3">
        <f t="shared" ref="G614" si="2610">F614-E614</f>
        <v>-145</v>
      </c>
      <c r="H614" s="49">
        <f t="shared" ref="H614" si="2611">(F614-F613)/F613</f>
        <v>-0.12382739212007504</v>
      </c>
      <c r="I614" s="57">
        <f t="shared" ref="I614" si="2612">(E614-E613)/E613</f>
        <v>0.26970954356846472</v>
      </c>
      <c r="J614" s="30">
        <f t="shared" ref="J614" si="2613">E614-E613</f>
        <v>130</v>
      </c>
      <c r="K614" s="13">
        <f t="shared" ref="K614" si="2614">(F614-F562)/F562</f>
        <v>-0.26917057902973396</v>
      </c>
      <c r="L614" s="3">
        <f t="shared" ref="L614" si="2615">AVERAGE(F458,F510,F562)</f>
        <v>547.66666666666663</v>
      </c>
    </row>
    <row r="615" spans="1:12" ht="14.25" x14ac:dyDescent="0.2">
      <c r="A615" s="21">
        <f t="shared" si="2377"/>
        <v>42896</v>
      </c>
      <c r="B615" s="3">
        <v>418</v>
      </c>
      <c r="C615" s="3">
        <v>19</v>
      </c>
      <c r="D615" s="3">
        <v>25</v>
      </c>
      <c r="E615" s="3">
        <f t="shared" ref="E615" si="2616">SUM(B615:D615)</f>
        <v>462</v>
      </c>
      <c r="F615" s="52">
        <v>534</v>
      </c>
      <c r="G615" s="3">
        <f t="shared" ref="G615" si="2617">F615-E615</f>
        <v>72</v>
      </c>
      <c r="H615" s="49">
        <f t="shared" ref="H615" si="2618">(F615-F614)/F614</f>
        <v>0.14346895074946467</v>
      </c>
      <c r="I615" s="57">
        <f t="shared" ref="I615" si="2619">(E615-E614)/E614</f>
        <v>-0.24509803921568626</v>
      </c>
      <c r="J615" s="30">
        <f t="shared" ref="J615" si="2620">E615-E614</f>
        <v>-150</v>
      </c>
      <c r="K615" s="13">
        <f t="shared" ref="K615" si="2621">(F615-F563)/F563</f>
        <v>-0.30918499353169471</v>
      </c>
      <c r="L615" s="3">
        <f t="shared" ref="L615" si="2622">AVERAGE(F459,F511,F563)</f>
        <v>662.33333333333337</v>
      </c>
    </row>
    <row r="616" spans="1:12" ht="14.25" x14ac:dyDescent="0.2">
      <c r="A616" s="21">
        <f t="shared" si="2377"/>
        <v>42903</v>
      </c>
      <c r="B616" s="3">
        <v>292</v>
      </c>
      <c r="C616" s="3">
        <v>18</v>
      </c>
      <c r="D616" s="3">
        <v>46</v>
      </c>
      <c r="E616" s="3">
        <f t="shared" ref="E616" si="2623">SUM(B616:D616)</f>
        <v>356</v>
      </c>
      <c r="F616" s="52">
        <v>556</v>
      </c>
      <c r="G616" s="3">
        <f t="shared" ref="G616" si="2624">F616-E616</f>
        <v>200</v>
      </c>
      <c r="H616" s="49">
        <f t="shared" ref="H616" si="2625">(F616-F615)/F615</f>
        <v>4.1198501872659173E-2</v>
      </c>
      <c r="I616" s="57">
        <f t="shared" ref="I616" si="2626">(E616-E615)/E615</f>
        <v>-0.22943722943722944</v>
      </c>
      <c r="J616" s="30">
        <f t="shared" ref="J616" si="2627">E616-E615</f>
        <v>-106</v>
      </c>
      <c r="K616" s="13">
        <f t="shared" ref="K616" si="2628">(F616-F564)/F564</f>
        <v>-0.23310344827586207</v>
      </c>
      <c r="L616" s="3">
        <f t="shared" ref="L616" si="2629">AVERAGE(F460,F512,F564)</f>
        <v>582.33333333333337</v>
      </c>
    </row>
    <row r="617" spans="1:12" ht="14.25" x14ac:dyDescent="0.2">
      <c r="A617" s="21">
        <f t="shared" si="2377"/>
        <v>42910</v>
      </c>
      <c r="B617" s="3">
        <v>436</v>
      </c>
      <c r="C617" s="3">
        <v>37</v>
      </c>
      <c r="D617" s="3">
        <v>38</v>
      </c>
      <c r="E617" s="3">
        <f t="shared" ref="E617" si="2630">SUM(B617:D617)</f>
        <v>511</v>
      </c>
      <c r="F617" s="52">
        <v>480</v>
      </c>
      <c r="G617" s="3">
        <f t="shared" ref="G617" si="2631">F617-E617</f>
        <v>-31</v>
      </c>
      <c r="H617" s="49">
        <f t="shared" ref="H617" si="2632">(F617-F616)/F616</f>
        <v>-0.1366906474820144</v>
      </c>
      <c r="I617" s="57">
        <f t="shared" ref="I617" si="2633">(E617-E616)/E616</f>
        <v>0.4353932584269663</v>
      </c>
      <c r="J617" s="30">
        <f t="shared" ref="J617" si="2634">E617-E616</f>
        <v>155</v>
      </c>
      <c r="K617" s="13">
        <f t="shared" ref="K617" si="2635">(F617-F565)/F565</f>
        <v>-0.12408759124087591</v>
      </c>
      <c r="L617" s="3">
        <f t="shared" ref="L617" si="2636">AVERAGE(F461,F513,F565)</f>
        <v>547.66666666666663</v>
      </c>
    </row>
    <row r="618" spans="1:12" ht="14.25" x14ac:dyDescent="0.2">
      <c r="A618" s="21">
        <f t="shared" si="2377"/>
        <v>42917</v>
      </c>
      <c r="B618" s="3">
        <v>549</v>
      </c>
      <c r="C618" s="3">
        <v>49</v>
      </c>
      <c r="D618" s="3">
        <v>14</v>
      </c>
      <c r="E618" s="3">
        <f t="shared" ref="E618" si="2637">SUM(B618:D618)</f>
        <v>612</v>
      </c>
      <c r="F618" s="52">
        <v>681</v>
      </c>
      <c r="G618" s="3">
        <f t="shared" ref="G618" si="2638">F618-E618</f>
        <v>69</v>
      </c>
      <c r="H618" s="49">
        <f t="shared" ref="H618" si="2639">(F618-F617)/F617</f>
        <v>0.41875000000000001</v>
      </c>
      <c r="I618" s="57">
        <f t="shared" ref="I618" si="2640">(E618-E617)/E617</f>
        <v>0.19765166340508805</v>
      </c>
      <c r="J618" s="30">
        <f t="shared" ref="J618" si="2641">E618-E617</f>
        <v>101</v>
      </c>
      <c r="K618" s="13">
        <f t="shared" ref="K618" si="2642">(F618-F566)/F566</f>
        <v>0.36746987951807231</v>
      </c>
      <c r="L618" s="3">
        <f t="shared" ref="L618" si="2643">AVERAGE(F462,F514,F566)</f>
        <v>529.33333333333337</v>
      </c>
    </row>
    <row r="619" spans="1:12" ht="14.25" x14ac:dyDescent="0.2">
      <c r="A619" s="21">
        <f t="shared" si="2377"/>
        <v>42924</v>
      </c>
      <c r="B619" s="3">
        <v>440</v>
      </c>
      <c r="C619" s="3">
        <v>33</v>
      </c>
      <c r="D619" s="3">
        <v>41</v>
      </c>
      <c r="E619" s="3">
        <f t="shared" ref="E619" si="2644">SUM(B619:D619)</f>
        <v>514</v>
      </c>
      <c r="F619" s="52">
        <v>610</v>
      </c>
      <c r="G619" s="3">
        <f t="shared" ref="G619" si="2645">F619-E619</f>
        <v>96</v>
      </c>
      <c r="H619" s="49">
        <f t="shared" ref="H619" si="2646">(F619-F618)/F618</f>
        <v>-0.10425844346549193</v>
      </c>
      <c r="I619" s="57">
        <f t="shared" ref="I619" si="2647">(E619-E618)/E618</f>
        <v>-0.16013071895424835</v>
      </c>
      <c r="J619" s="30">
        <f t="shared" ref="J619" si="2648">E619-E618</f>
        <v>-98</v>
      </c>
      <c r="K619" s="13">
        <f t="shared" ref="K619" si="2649">(F619-F567)/F567</f>
        <v>-0.25153374233128833</v>
      </c>
      <c r="L619" s="3">
        <f t="shared" ref="L619" si="2650">AVERAGE(F463,F515,F567)</f>
        <v>675.33333333333337</v>
      </c>
    </row>
    <row r="620" spans="1:12" ht="14.25" x14ac:dyDescent="0.2">
      <c r="A620" s="21">
        <f t="shared" si="2377"/>
        <v>42931</v>
      </c>
      <c r="B620" s="3">
        <v>496</v>
      </c>
      <c r="C620" s="3">
        <v>63</v>
      </c>
      <c r="D620" s="3">
        <v>34</v>
      </c>
      <c r="E620" s="3">
        <f t="shared" ref="E620" si="2651">SUM(B620:D620)</f>
        <v>593</v>
      </c>
      <c r="F620" s="52">
        <v>674</v>
      </c>
      <c r="G620" s="3">
        <f t="shared" ref="G620" si="2652">F620-E620</f>
        <v>81</v>
      </c>
      <c r="H620" s="49">
        <f t="shared" ref="H620" si="2653">(F620-F619)/F619</f>
        <v>0.10491803278688525</v>
      </c>
      <c r="I620" s="57">
        <f t="shared" ref="I620" si="2654">(E620-E619)/E619</f>
        <v>0.15369649805447472</v>
      </c>
      <c r="J620" s="30">
        <f t="shared" ref="J620" si="2655">E620-E619</f>
        <v>79</v>
      </c>
      <c r="K620" s="13">
        <f t="shared" ref="K620" si="2656">(F620-F568)/F568</f>
        <v>1.5060240963855422E-2</v>
      </c>
      <c r="L620" s="3">
        <f t="shared" ref="L620" si="2657">AVERAGE(F464,F516,F568)</f>
        <v>544.33333333333337</v>
      </c>
    </row>
    <row r="621" spans="1:12" ht="14.25" x14ac:dyDescent="0.2">
      <c r="A621" s="21">
        <f t="shared" si="2377"/>
        <v>42938</v>
      </c>
      <c r="B621" s="3">
        <v>672</v>
      </c>
      <c r="C621" s="3">
        <v>28</v>
      </c>
      <c r="D621" s="3">
        <v>72</v>
      </c>
      <c r="E621" s="3">
        <f t="shared" ref="E621" si="2658">SUM(B621:D621)</f>
        <v>772</v>
      </c>
      <c r="F621" s="52">
        <v>686</v>
      </c>
      <c r="G621" s="3">
        <f t="shared" ref="G621" si="2659">F621-E621</f>
        <v>-86</v>
      </c>
      <c r="H621" s="49">
        <f t="shared" ref="H621" si="2660">(F621-F620)/F620</f>
        <v>1.7804154302670624E-2</v>
      </c>
      <c r="I621" s="57">
        <f t="shared" ref="I621" si="2661">(E621-E620)/E620</f>
        <v>0.30185497470489037</v>
      </c>
      <c r="J621" s="30">
        <f t="shared" ref="J621" si="2662">E621-E620</f>
        <v>179</v>
      </c>
      <c r="K621" s="13">
        <f t="shared" ref="K621" si="2663">(F621-F569)/F569</f>
        <v>-0.18816568047337279</v>
      </c>
      <c r="L621" s="3">
        <f t="shared" ref="L621" si="2664">AVERAGE(F465,F517,F569)</f>
        <v>602.66666666666663</v>
      </c>
    </row>
    <row r="622" spans="1:12" ht="14.25" x14ac:dyDescent="0.2">
      <c r="A622" s="21">
        <f t="shared" si="2377"/>
        <v>42945</v>
      </c>
      <c r="B622" s="3">
        <v>462</v>
      </c>
      <c r="C622" s="3">
        <v>20</v>
      </c>
      <c r="D622" s="3">
        <v>36</v>
      </c>
      <c r="E622" s="3">
        <f t="shared" ref="E622" si="2665">SUM(B622:D622)</f>
        <v>518</v>
      </c>
      <c r="F622" s="52">
        <v>640</v>
      </c>
      <c r="G622" s="3">
        <f t="shared" ref="G622" si="2666">F622-E622</f>
        <v>122</v>
      </c>
      <c r="H622" s="49">
        <f t="shared" ref="H622" si="2667">(F622-F621)/F621</f>
        <v>-6.7055393586005832E-2</v>
      </c>
      <c r="I622" s="57">
        <f t="shared" ref="I622" si="2668">(E622-E621)/E621</f>
        <v>-0.32901554404145078</v>
      </c>
      <c r="J622" s="30">
        <f t="shared" ref="J622" si="2669">E622-E621</f>
        <v>-254</v>
      </c>
      <c r="K622" s="13">
        <f t="shared" ref="K622" si="2670">(F622-F570)/F570</f>
        <v>-0.11234396671289876</v>
      </c>
      <c r="L622" s="3">
        <f t="shared" ref="L622" si="2671">AVERAGE(F466,F518,F570)</f>
        <v>526</v>
      </c>
    </row>
    <row r="623" spans="1:12" ht="14.25" x14ac:dyDescent="0.2">
      <c r="A623" s="21">
        <f t="shared" si="2377"/>
        <v>42952</v>
      </c>
      <c r="B623" s="3">
        <v>472</v>
      </c>
      <c r="C623" s="3">
        <v>24</v>
      </c>
      <c r="D623" s="3">
        <v>45</v>
      </c>
      <c r="E623" s="3">
        <f t="shared" ref="E623" si="2672">SUM(B623:D623)</f>
        <v>541</v>
      </c>
      <c r="F623" s="52">
        <v>633</v>
      </c>
      <c r="G623" s="3">
        <f t="shared" ref="G623" si="2673">F623-E623</f>
        <v>92</v>
      </c>
      <c r="H623" s="49">
        <f t="shared" ref="H623" si="2674">(F623-F622)/F622</f>
        <v>-1.0937499999999999E-2</v>
      </c>
      <c r="I623" s="57">
        <f t="shared" ref="I623" si="2675">(E623-E622)/E622</f>
        <v>4.4401544401544403E-2</v>
      </c>
      <c r="J623" s="30">
        <f t="shared" ref="J623" si="2676">E623-E622</f>
        <v>23</v>
      </c>
      <c r="K623" s="13">
        <f t="shared" ref="K623" si="2677">(F623-F571)/F571</f>
        <v>-0.18532818532818532</v>
      </c>
      <c r="L623" s="3">
        <f t="shared" ref="L623" si="2678">AVERAGE(F467,F519,F571)</f>
        <v>570</v>
      </c>
    </row>
    <row r="624" spans="1:12" ht="14.25" x14ac:dyDescent="0.2">
      <c r="A624" s="21">
        <f t="shared" si="2377"/>
        <v>42959</v>
      </c>
      <c r="B624" s="3">
        <v>522</v>
      </c>
      <c r="C624" s="3">
        <v>41</v>
      </c>
      <c r="D624" s="3">
        <v>41</v>
      </c>
      <c r="E624" s="3">
        <f t="shared" ref="E624" si="2679">SUM(B624:D624)</f>
        <v>604</v>
      </c>
      <c r="F624" s="52">
        <v>600</v>
      </c>
      <c r="G624" s="3">
        <f t="shared" ref="G624" si="2680">F624-E624</f>
        <v>-4</v>
      </c>
      <c r="H624" s="49">
        <f t="shared" ref="H624" si="2681">(F624-F623)/F623</f>
        <v>-5.2132701421800945E-2</v>
      </c>
      <c r="I624" s="57">
        <f t="shared" ref="I624" si="2682">(E624-E623)/E623</f>
        <v>0.11645101663585952</v>
      </c>
      <c r="J624" s="30">
        <f t="shared" ref="J624" si="2683">E624-E623</f>
        <v>63</v>
      </c>
      <c r="K624" s="13">
        <f t="shared" ref="K624" si="2684">(F624-F572)/F572</f>
        <v>-7.2642967542503864E-2</v>
      </c>
      <c r="L624" s="3">
        <f t="shared" ref="L624" si="2685">AVERAGE(F468,F520,F572)</f>
        <v>612.33333333333337</v>
      </c>
    </row>
    <row r="625" spans="1:12" ht="14.25" x14ac:dyDescent="0.2">
      <c r="A625" s="21">
        <f t="shared" si="2377"/>
        <v>42966</v>
      </c>
      <c r="B625" s="3">
        <v>598</v>
      </c>
      <c r="C625" s="3">
        <v>11</v>
      </c>
      <c r="D625" s="3">
        <v>40</v>
      </c>
      <c r="E625" s="3">
        <f t="shared" ref="E625" si="2686">SUM(B625:D625)</f>
        <v>649</v>
      </c>
      <c r="F625" s="52">
        <v>677</v>
      </c>
      <c r="G625" s="3">
        <f t="shared" ref="G625" si="2687">F625-E625</f>
        <v>28</v>
      </c>
      <c r="H625" s="49">
        <f t="shared" ref="H625" si="2688">(F625-F624)/F624</f>
        <v>0.12833333333333333</v>
      </c>
      <c r="I625" s="57">
        <f t="shared" ref="I625" si="2689">(E625-E624)/E624</f>
        <v>7.4503311258278151E-2</v>
      </c>
      <c r="J625" s="30">
        <f t="shared" ref="J625" si="2690">E625-E624</f>
        <v>45</v>
      </c>
      <c r="K625" s="13">
        <f t="shared" ref="K625" si="2691">(F625-F573)/F573</f>
        <v>-0.19786729857819904</v>
      </c>
      <c r="L625" s="3">
        <f t="shared" ref="L625" si="2692">AVERAGE(F469,F521,F573)</f>
        <v>640.66666666666663</v>
      </c>
    </row>
    <row r="626" spans="1:12" ht="14.25" x14ac:dyDescent="0.2">
      <c r="A626" s="21">
        <f t="shared" si="2377"/>
        <v>42973</v>
      </c>
      <c r="B626" s="3">
        <v>487</v>
      </c>
      <c r="C626" s="3">
        <v>45</v>
      </c>
      <c r="D626" s="3">
        <v>43</v>
      </c>
      <c r="E626" s="3">
        <f t="shared" ref="E626" si="2693">SUM(B626:D626)</f>
        <v>575</v>
      </c>
      <c r="F626" s="52">
        <v>662</v>
      </c>
      <c r="G626" s="3">
        <f t="shared" ref="G626" si="2694">F626-E626</f>
        <v>87</v>
      </c>
      <c r="H626" s="49">
        <f t="shared" ref="H626" si="2695">(F626-F625)/F625</f>
        <v>-2.2156573116691284E-2</v>
      </c>
      <c r="I626" s="57">
        <f t="shared" ref="I626" si="2696">(E626-E625)/E625</f>
        <v>-0.1140215716486903</v>
      </c>
      <c r="J626" s="30">
        <f t="shared" ref="J626" si="2697">E626-E625</f>
        <v>-74</v>
      </c>
      <c r="K626" s="13">
        <f t="shared" ref="K626" si="2698">(F626-F574)/F574</f>
        <v>-0.27650273224043714</v>
      </c>
      <c r="L626" s="3">
        <f t="shared" ref="L626" si="2699">AVERAGE(F470,F522,F574)</f>
        <v>628.33333333333337</v>
      </c>
    </row>
    <row r="627" spans="1:12" ht="14.25" x14ac:dyDescent="0.2">
      <c r="A627" s="21">
        <f t="shared" si="2377"/>
        <v>42980</v>
      </c>
      <c r="B627" s="3">
        <v>334</v>
      </c>
      <c r="C627" s="3">
        <v>21</v>
      </c>
      <c r="D627" s="3">
        <v>30</v>
      </c>
      <c r="E627" s="3">
        <f t="shared" ref="E627" si="2700">SUM(B627:D627)</f>
        <v>385</v>
      </c>
      <c r="F627" s="52">
        <v>638</v>
      </c>
      <c r="G627" s="3">
        <f t="shared" ref="G627" si="2701">F627-E627</f>
        <v>253</v>
      </c>
      <c r="H627" s="49">
        <f t="shared" ref="H627" si="2702">(F627-F626)/F626</f>
        <v>-3.6253776435045321E-2</v>
      </c>
      <c r="I627" s="57">
        <f t="shared" ref="I627" si="2703">(E627-E626)/E626</f>
        <v>-0.33043478260869563</v>
      </c>
      <c r="J627" s="30">
        <f t="shared" ref="J627" si="2704">E627-E626</f>
        <v>-190</v>
      </c>
      <c r="K627" s="13">
        <f t="shared" ref="K627" si="2705">(F627-F575)/F575</f>
        <v>-0.36831683168316831</v>
      </c>
      <c r="L627" s="3">
        <f t="shared" ref="L627" si="2706">AVERAGE(F471,F523,F575)</f>
        <v>745.33333333333337</v>
      </c>
    </row>
    <row r="628" spans="1:12" ht="14.25" x14ac:dyDescent="0.2">
      <c r="A628" s="21">
        <f t="shared" si="2377"/>
        <v>42987</v>
      </c>
      <c r="B628" s="3">
        <v>553</v>
      </c>
      <c r="C628" s="3">
        <v>30</v>
      </c>
      <c r="D628" s="3">
        <v>30</v>
      </c>
      <c r="E628" s="3">
        <f t="shared" ref="E628" si="2707">SUM(B628:D628)</f>
        <v>613</v>
      </c>
      <c r="F628" s="52">
        <v>851</v>
      </c>
      <c r="G628" s="3">
        <f t="shared" ref="G628" si="2708">F628-E628</f>
        <v>238</v>
      </c>
      <c r="H628" s="49">
        <f t="shared" ref="H628" si="2709">(F628-F627)/F627</f>
        <v>0.33385579937304077</v>
      </c>
      <c r="I628" s="57">
        <f t="shared" ref="I628" si="2710">(E628-E627)/E627</f>
        <v>0.59220779220779218</v>
      </c>
      <c r="J628" s="30">
        <f t="shared" ref="J628" si="2711">E628-E627</f>
        <v>228</v>
      </c>
      <c r="K628" s="13">
        <f t="shared" ref="K628" si="2712">(F628-F576)/F576</f>
        <v>-5.8628318584070797E-2</v>
      </c>
      <c r="L628" s="3">
        <f t="shared" ref="L628" si="2713">AVERAGE(F472,F524,F576)</f>
        <v>713</v>
      </c>
    </row>
    <row r="629" spans="1:12" ht="14.25" x14ac:dyDescent="0.2">
      <c r="A629" s="21">
        <f t="shared" si="2377"/>
        <v>42994</v>
      </c>
      <c r="B629" s="3">
        <v>323</v>
      </c>
      <c r="C629" s="3">
        <v>14</v>
      </c>
      <c r="D629" s="3">
        <v>20</v>
      </c>
      <c r="E629" s="3">
        <f t="shared" ref="E629" si="2714">SUM(B629:D629)</f>
        <v>357</v>
      </c>
      <c r="F629" s="52">
        <v>733</v>
      </c>
      <c r="G629" s="3">
        <f t="shared" ref="G629" si="2715">F629-E629</f>
        <v>376</v>
      </c>
      <c r="H629" s="49">
        <f t="shared" ref="H629" si="2716">(F629-F628)/F628</f>
        <v>-0.13866039952996476</v>
      </c>
      <c r="I629" s="57">
        <f t="shared" ref="I629" si="2717">(E629-E628)/E628</f>
        <v>-0.41761827079934749</v>
      </c>
      <c r="J629" s="30">
        <f t="shared" ref="J629" si="2718">E629-E628</f>
        <v>-256</v>
      </c>
      <c r="K629" s="13">
        <f t="shared" ref="K629" si="2719">(F629-F577)/F577</f>
        <v>2.5174825174825177E-2</v>
      </c>
      <c r="L629" s="3">
        <f t="shared" ref="L629" si="2720">AVERAGE(F473,F525,F577)</f>
        <v>726</v>
      </c>
    </row>
    <row r="630" spans="1:12" ht="14.25" x14ac:dyDescent="0.2">
      <c r="A630" s="21">
        <f t="shared" si="2377"/>
        <v>43001</v>
      </c>
      <c r="B630" s="3">
        <v>120</v>
      </c>
      <c r="C630" s="3">
        <v>52</v>
      </c>
      <c r="D630" s="3">
        <v>49</v>
      </c>
      <c r="E630" s="3">
        <f t="shared" ref="E630" si="2721">SUM(B630:D630)</f>
        <v>221</v>
      </c>
      <c r="F630" s="52">
        <v>754</v>
      </c>
      <c r="G630" s="3">
        <f t="shared" ref="G630" si="2722">F630-E630</f>
        <v>533</v>
      </c>
      <c r="H630" s="49">
        <f t="shared" ref="H630" si="2723">(F630-F629)/F629</f>
        <v>2.8649386084583901E-2</v>
      </c>
      <c r="I630" s="57">
        <f t="shared" ref="I630" si="2724">(E630-E629)/E629</f>
        <v>-0.38095238095238093</v>
      </c>
      <c r="J630" s="30">
        <f t="shared" ref="J630" si="2725">E630-E629</f>
        <v>-136</v>
      </c>
      <c r="K630" s="13">
        <f t="shared" ref="K630" si="2726">(F630-F578)/F578</f>
        <v>1.891891891891892E-2</v>
      </c>
      <c r="L630" s="3">
        <f t="shared" ref="L630" si="2727">AVERAGE(F474,F526,F578)</f>
        <v>737.33333333333337</v>
      </c>
    </row>
    <row r="631" spans="1:12" ht="14.25" x14ac:dyDescent="0.2">
      <c r="A631" s="21">
        <f t="shared" si="2377"/>
        <v>43008</v>
      </c>
      <c r="B631" s="3">
        <v>393</v>
      </c>
      <c r="C631" s="3">
        <v>83</v>
      </c>
      <c r="D631" s="3">
        <v>56</v>
      </c>
      <c r="E631" s="3">
        <f t="shared" ref="E631" si="2728">SUM(B631:D631)</f>
        <v>532</v>
      </c>
      <c r="F631" s="52">
        <v>722</v>
      </c>
      <c r="G631" s="3">
        <f t="shared" ref="G631" si="2729">F631-E631</f>
        <v>190</v>
      </c>
      <c r="H631" s="49">
        <f t="shared" ref="H631" si="2730">(F631-F630)/F630</f>
        <v>-4.2440318302387266E-2</v>
      </c>
      <c r="I631" s="57">
        <f t="shared" ref="I631" si="2731">(E631-E630)/E630</f>
        <v>1.407239819004525</v>
      </c>
      <c r="J631" s="30">
        <f t="shared" ref="J631" si="2732">E631-E630</f>
        <v>311</v>
      </c>
      <c r="K631" s="13">
        <f t="shared" ref="K631" si="2733">(F631-F579)/F579</f>
        <v>-0.11951219512195121</v>
      </c>
      <c r="L631" s="3">
        <f t="shared" ref="L631" si="2734">AVERAGE(F475,F527,F579)</f>
        <v>776.33333333333337</v>
      </c>
    </row>
    <row r="632" spans="1:12" ht="14.25" x14ac:dyDescent="0.2">
      <c r="A632" s="21">
        <f t="shared" si="2377"/>
        <v>43015</v>
      </c>
      <c r="B632" s="3">
        <v>267</v>
      </c>
      <c r="C632" s="3">
        <v>57</v>
      </c>
      <c r="D632" s="3">
        <v>58</v>
      </c>
      <c r="E632" s="3">
        <f t="shared" ref="E632" si="2735">SUM(B632:D632)</f>
        <v>382</v>
      </c>
      <c r="F632" s="52">
        <v>671</v>
      </c>
      <c r="G632" s="3">
        <f t="shared" ref="G632" si="2736">F632-E632</f>
        <v>289</v>
      </c>
      <c r="H632" s="49">
        <f t="shared" ref="H632" si="2737">(F632-F631)/F631</f>
        <v>-7.0637119113573413E-2</v>
      </c>
      <c r="I632" s="57">
        <f t="shared" ref="I632" si="2738">(E632-E631)/E631</f>
        <v>-0.28195488721804512</v>
      </c>
      <c r="J632" s="30">
        <f t="shared" ref="J632" si="2739">E632-E631</f>
        <v>-150</v>
      </c>
      <c r="K632" s="13">
        <f t="shared" ref="K632" si="2740">(F632-F580)/F580</f>
        <v>-0.27065217391304347</v>
      </c>
      <c r="L632" s="3">
        <f t="shared" ref="L632" si="2741">AVERAGE(F476,F528,F580)</f>
        <v>852.66666666666663</v>
      </c>
    </row>
    <row r="633" spans="1:12" ht="14.25" x14ac:dyDescent="0.2">
      <c r="A633" s="21">
        <f t="shared" si="2377"/>
        <v>43022</v>
      </c>
      <c r="B633" s="3">
        <v>255</v>
      </c>
      <c r="C633" s="3">
        <v>48</v>
      </c>
      <c r="D633" s="3">
        <v>20</v>
      </c>
      <c r="E633" s="3">
        <f t="shared" ref="E633" si="2742">SUM(B633:D633)</f>
        <v>323</v>
      </c>
      <c r="F633" s="52">
        <v>713</v>
      </c>
      <c r="G633" s="3">
        <f t="shared" ref="G633" si="2743">F633-E633</f>
        <v>390</v>
      </c>
      <c r="H633" s="49">
        <f t="shared" ref="H633" si="2744">(F633-F632)/F632</f>
        <v>6.259314456035768E-2</v>
      </c>
      <c r="I633" s="57">
        <f t="shared" ref="I633" si="2745">(E633-E632)/E632</f>
        <v>-0.15445026178010471</v>
      </c>
      <c r="J633" s="30">
        <f t="shared" ref="J633" si="2746">E633-E632</f>
        <v>-59</v>
      </c>
      <c r="K633" s="13">
        <f t="shared" ref="K633" si="2747">(F633-F581)/F581</f>
        <v>-0.23497854077253219</v>
      </c>
      <c r="L633" s="3">
        <f t="shared" ref="L633" si="2748">AVERAGE(F477,F529,F581)</f>
        <v>911.33333333333337</v>
      </c>
    </row>
    <row r="634" spans="1:12" ht="14.25" x14ac:dyDescent="0.2">
      <c r="A634" s="21">
        <f t="shared" si="2377"/>
        <v>43029</v>
      </c>
      <c r="B634" s="3">
        <v>203</v>
      </c>
      <c r="C634" s="3">
        <v>40</v>
      </c>
      <c r="D634" s="3">
        <v>106</v>
      </c>
      <c r="E634" s="3">
        <f t="shared" ref="E634" si="2749">SUM(B634:D634)</f>
        <v>349</v>
      </c>
      <c r="F634" s="52">
        <v>1022</v>
      </c>
      <c r="G634" s="3">
        <f t="shared" ref="G634" si="2750">F634-E634</f>
        <v>673</v>
      </c>
      <c r="H634" s="49">
        <f t="shared" ref="H634" si="2751">(F634-F633)/F633</f>
        <v>0.43338008415147267</v>
      </c>
      <c r="I634" s="57">
        <f t="shared" ref="I634" si="2752">(E634-E633)/E633</f>
        <v>8.0495356037151702E-2</v>
      </c>
      <c r="J634" s="30">
        <f t="shared" ref="J634" si="2753">E634-E633</f>
        <v>26</v>
      </c>
      <c r="K634" s="13">
        <f t="shared" ref="K634" si="2754">(F634-F582)/F582</f>
        <v>6.569343065693431E-2</v>
      </c>
      <c r="L634" s="3">
        <f t="shared" ref="L634" si="2755">AVERAGE(F478,F530,F582)</f>
        <v>909.66666666666663</v>
      </c>
    </row>
    <row r="635" spans="1:12" ht="14.25" x14ac:dyDescent="0.2">
      <c r="A635" s="21">
        <f t="shared" si="2377"/>
        <v>43036</v>
      </c>
      <c r="B635" s="3">
        <v>404</v>
      </c>
      <c r="C635" s="3">
        <v>43</v>
      </c>
      <c r="D635" s="3">
        <v>99</v>
      </c>
      <c r="E635" s="3">
        <f t="shared" ref="E635" si="2756">SUM(B635:D635)</f>
        <v>546</v>
      </c>
      <c r="F635" s="52">
        <v>875</v>
      </c>
      <c r="G635" s="3">
        <f t="shared" ref="G635" si="2757">F635-E635</f>
        <v>329</v>
      </c>
      <c r="H635" s="49">
        <f t="shared" ref="H635" si="2758">(F635-F634)/F634</f>
        <v>-0.14383561643835616</v>
      </c>
      <c r="I635" s="57">
        <f t="shared" ref="I635" si="2759">(E635-E634)/E634</f>
        <v>0.5644699140401146</v>
      </c>
      <c r="J635" s="30">
        <f t="shared" ref="J635" si="2760">E635-E634</f>
        <v>197</v>
      </c>
      <c r="K635" s="13">
        <f t="shared" ref="K635" si="2761">(F635-F583)/F583</f>
        <v>-9.3264248704663211E-2</v>
      </c>
      <c r="L635" s="3">
        <f t="shared" ref="L635" si="2762">AVERAGE(F479,F531,F583)</f>
        <v>858</v>
      </c>
    </row>
    <row r="636" spans="1:12" ht="14.25" x14ac:dyDescent="0.2">
      <c r="A636" s="21">
        <f t="shared" si="2377"/>
        <v>43043</v>
      </c>
      <c r="B636" s="3">
        <v>369</v>
      </c>
      <c r="C636" s="3">
        <v>34</v>
      </c>
      <c r="D636" s="3">
        <v>192</v>
      </c>
      <c r="E636" s="3">
        <f t="shared" ref="E636" si="2763">SUM(B636:D636)</f>
        <v>595</v>
      </c>
      <c r="F636" s="52">
        <v>1056</v>
      </c>
      <c r="G636" s="3">
        <f t="shared" ref="G636" si="2764">F636-E636</f>
        <v>461</v>
      </c>
      <c r="H636" s="49">
        <f t="shared" ref="H636" si="2765">(F636-F635)/F635</f>
        <v>0.20685714285714285</v>
      </c>
      <c r="I636" s="57">
        <f t="shared" ref="I636" si="2766">(E636-E635)/E635</f>
        <v>8.9743589743589744E-2</v>
      </c>
      <c r="J636" s="30">
        <f t="shared" ref="J636" si="2767">E636-E635</f>
        <v>49</v>
      </c>
      <c r="K636" s="13">
        <f t="shared" ref="K636" si="2768">(F636-F584)/F584</f>
        <v>1.2464046021093002E-2</v>
      </c>
      <c r="L636" s="3">
        <f t="shared" ref="L636" si="2769">AVERAGE(F480,F532,F584)</f>
        <v>931.33333333333337</v>
      </c>
    </row>
    <row r="637" spans="1:12" ht="14.25" x14ac:dyDescent="0.2">
      <c r="A637" s="21">
        <f t="shared" si="2377"/>
        <v>43050</v>
      </c>
      <c r="B637" s="3">
        <v>546</v>
      </c>
      <c r="C637" s="3">
        <v>54</v>
      </c>
      <c r="D637" s="3">
        <v>95</v>
      </c>
      <c r="E637" s="3">
        <f t="shared" ref="E637:E638" si="2770">SUM(B637:D637)</f>
        <v>695</v>
      </c>
      <c r="F637" s="52">
        <v>1031</v>
      </c>
      <c r="G637" s="3">
        <f t="shared" ref="G637:G638" si="2771">F637-E637</f>
        <v>336</v>
      </c>
      <c r="H637" s="49">
        <f t="shared" ref="H637" si="2772">(F637-F636)/F636</f>
        <v>-2.3674242424242424E-2</v>
      </c>
      <c r="I637" s="57">
        <f t="shared" ref="I637" si="2773">(E637-E636)/E636</f>
        <v>0.16806722689075632</v>
      </c>
      <c r="J637" s="30">
        <f t="shared" ref="J637" si="2774">E637-E636</f>
        <v>100</v>
      </c>
      <c r="K637" s="13">
        <f t="shared" ref="K637" si="2775">(F637-F585)/F585</f>
        <v>0.12554585152838427</v>
      </c>
      <c r="L637" s="3">
        <f t="shared" ref="L637" si="2776">AVERAGE(F481,F533,F585)</f>
        <v>1001.3333333333334</v>
      </c>
    </row>
    <row r="638" spans="1:12" ht="14.25" x14ac:dyDescent="0.2">
      <c r="A638" s="21">
        <f t="shared" si="2377"/>
        <v>43057</v>
      </c>
      <c r="B638" s="3">
        <v>404</v>
      </c>
      <c r="C638" s="3">
        <v>44</v>
      </c>
      <c r="D638" s="3">
        <v>106</v>
      </c>
      <c r="E638" s="3">
        <f t="shared" si="2770"/>
        <v>554</v>
      </c>
      <c r="F638" s="52">
        <v>1033</v>
      </c>
      <c r="G638" s="3">
        <f t="shared" si="2771"/>
        <v>479</v>
      </c>
      <c r="H638" s="49">
        <f t="shared" ref="H638" si="2777">(F638-F637)/F637</f>
        <v>1.9398642095053346E-3</v>
      </c>
      <c r="I638" s="57">
        <f t="shared" ref="I638" si="2778">(E638-E637)/E637</f>
        <v>-0.20287769784172663</v>
      </c>
      <c r="J638" s="30">
        <f t="shared" ref="J638" si="2779">E638-E637</f>
        <v>-141</v>
      </c>
      <c r="K638" s="13">
        <f t="shared" ref="K638" si="2780">(F638-F586)/F586</f>
        <v>-2.3629489603024575E-2</v>
      </c>
      <c r="L638" s="3">
        <f t="shared" ref="L638" si="2781">AVERAGE(F482,F534,F586)</f>
        <v>1008.6666666666666</v>
      </c>
    </row>
    <row r="639" spans="1:12" ht="14.25" x14ac:dyDescent="0.2">
      <c r="A639" s="21">
        <f t="shared" si="2377"/>
        <v>43064</v>
      </c>
      <c r="B639" s="3">
        <v>562</v>
      </c>
      <c r="C639" s="3">
        <v>57</v>
      </c>
      <c r="D639" s="3">
        <v>125</v>
      </c>
      <c r="E639" s="3">
        <f t="shared" ref="E639" si="2782">SUM(B639:D639)</f>
        <v>744</v>
      </c>
      <c r="F639" s="52">
        <v>870</v>
      </c>
      <c r="G639" s="3">
        <f t="shared" ref="G639" si="2783">F639-E639</f>
        <v>126</v>
      </c>
      <c r="H639" s="49">
        <f t="shared" ref="H639" si="2784">(F639-F638)/F638</f>
        <v>-0.15779283639883834</v>
      </c>
      <c r="I639" s="57">
        <f t="shared" ref="I639" si="2785">(E639-E638)/E638</f>
        <v>0.34296028880866425</v>
      </c>
      <c r="J639" s="30">
        <f t="shared" ref="J639" si="2786">E639-E638</f>
        <v>190</v>
      </c>
      <c r="K639" s="13">
        <f t="shared" ref="K639" si="2787">(F639-F587)/F587</f>
        <v>-0.16184971098265896</v>
      </c>
      <c r="L639" s="3">
        <f t="shared" ref="L639" si="2788">AVERAGE(F483,F535,F587)</f>
        <v>1001.3333333333334</v>
      </c>
    </row>
    <row r="640" spans="1:12" ht="14.25" x14ac:dyDescent="0.2">
      <c r="A640" s="21">
        <f t="shared" si="2377"/>
        <v>43071</v>
      </c>
      <c r="B640" s="3">
        <v>391</v>
      </c>
      <c r="C640" s="3">
        <v>29</v>
      </c>
      <c r="D640" s="3">
        <v>35</v>
      </c>
      <c r="E640" s="3">
        <f t="shared" ref="E640" si="2789">SUM(B640:D640)</f>
        <v>455</v>
      </c>
      <c r="F640" s="52">
        <v>863</v>
      </c>
      <c r="G640" s="3">
        <f t="shared" ref="G640" si="2790">F640-E640</f>
        <v>408</v>
      </c>
      <c r="H640" s="49">
        <f t="shared" ref="H640" si="2791">(F640-F639)/F639</f>
        <v>-8.0459770114942528E-3</v>
      </c>
      <c r="I640" s="57">
        <f t="shared" ref="I640" si="2792">(E640-E639)/E639</f>
        <v>-0.38844086021505375</v>
      </c>
      <c r="J640" s="30">
        <f t="shared" ref="J640" si="2793">E640-E639</f>
        <v>-289</v>
      </c>
      <c r="K640" s="13">
        <f t="shared" ref="K640" si="2794">(F640-F588)/F588</f>
        <v>-0.14299900695134063</v>
      </c>
      <c r="L640" s="3">
        <f t="shared" ref="L640" si="2795">AVERAGE(F484,F536,F588)</f>
        <v>882.66666666666663</v>
      </c>
    </row>
    <row r="641" spans="1:12" ht="14.25" x14ac:dyDescent="0.2">
      <c r="A641" s="21">
        <f t="shared" si="2377"/>
        <v>43078</v>
      </c>
      <c r="B641" s="3">
        <v>377</v>
      </c>
      <c r="C641" s="3">
        <v>52</v>
      </c>
      <c r="D641" s="3">
        <v>95</v>
      </c>
      <c r="E641" s="3">
        <f t="shared" ref="E641" si="2796">SUM(B641:D641)</f>
        <v>524</v>
      </c>
      <c r="F641" s="52">
        <v>676</v>
      </c>
      <c r="G641" s="3">
        <f t="shared" ref="G641" si="2797">F641-E641</f>
        <v>152</v>
      </c>
      <c r="H641" s="49">
        <f t="shared" ref="H641" si="2798">(F641-F640)/F640</f>
        <v>-0.21668597914252608</v>
      </c>
      <c r="I641" s="57">
        <f t="shared" ref="I641" si="2799">(E641-E640)/E640</f>
        <v>0.15164835164835164</v>
      </c>
      <c r="J641" s="30">
        <f t="shared" ref="J641" si="2800">E641-E640</f>
        <v>69</v>
      </c>
      <c r="K641" s="13">
        <f t="shared" ref="K641" si="2801">(F641-F589)/F589</f>
        <v>-0.26760563380281688</v>
      </c>
      <c r="L641" s="3">
        <f t="shared" ref="L641" si="2802">AVERAGE(F485,F537,F589)</f>
        <v>949</v>
      </c>
    </row>
    <row r="642" spans="1:12" ht="14.25" x14ac:dyDescent="0.2">
      <c r="A642" s="21">
        <f t="shared" ref="A642:A705" si="2803">7+A641</f>
        <v>43085</v>
      </c>
      <c r="B642" s="3">
        <v>347</v>
      </c>
      <c r="C642" s="3">
        <v>35</v>
      </c>
      <c r="D642" s="3">
        <v>133</v>
      </c>
      <c r="E642" s="3">
        <f t="shared" ref="E642" si="2804">SUM(B642:D642)</f>
        <v>515</v>
      </c>
      <c r="F642" s="52">
        <v>922</v>
      </c>
      <c r="G642" s="3">
        <f t="shared" ref="G642" si="2805">F642-E642</f>
        <v>407</v>
      </c>
      <c r="H642" s="49">
        <f t="shared" ref="H642" si="2806">(F642-F641)/F641</f>
        <v>0.36390532544378701</v>
      </c>
      <c r="I642" s="57">
        <f t="shared" ref="I642" si="2807">(E642-E641)/E641</f>
        <v>-1.717557251908397E-2</v>
      </c>
      <c r="J642" s="30">
        <f t="shared" ref="J642" si="2808">E642-E641</f>
        <v>-9</v>
      </c>
      <c r="K642" s="13">
        <f t="shared" ref="K642" si="2809">(F642-F590)/F590</f>
        <v>6.4665127020785224E-2</v>
      </c>
      <c r="L642" s="3">
        <f t="shared" ref="L642" si="2810">AVERAGE(F486,F538,F590)</f>
        <v>923.33333333333337</v>
      </c>
    </row>
    <row r="643" spans="1:12" ht="14.25" x14ac:dyDescent="0.2">
      <c r="A643" s="21">
        <f t="shared" si="2803"/>
        <v>43092</v>
      </c>
      <c r="B643" s="3">
        <v>237</v>
      </c>
      <c r="C643" s="3">
        <v>26</v>
      </c>
      <c r="D643" s="3">
        <v>133</v>
      </c>
      <c r="E643" s="3">
        <f t="shared" ref="E643" si="2811">SUM(B643:D643)</f>
        <v>396</v>
      </c>
      <c r="F643" s="52">
        <v>728</v>
      </c>
      <c r="G643" s="3">
        <f t="shared" ref="G643" si="2812">F643-E643</f>
        <v>332</v>
      </c>
      <c r="H643" s="49">
        <f t="shared" ref="H643" si="2813">(F643-F642)/F642</f>
        <v>-0.210412147505423</v>
      </c>
      <c r="I643" s="57">
        <f t="shared" ref="I643" si="2814">(E643-E642)/E642</f>
        <v>-0.23106796116504855</v>
      </c>
      <c r="J643" s="30">
        <f t="shared" ref="J643" si="2815">E643-E642</f>
        <v>-119</v>
      </c>
      <c r="K643" s="13">
        <f t="shared" ref="K643" si="2816">(F643-F591)/F591</f>
        <v>-0.21888412017167383</v>
      </c>
      <c r="L643" s="3">
        <f t="shared" ref="L643" si="2817">AVERAGE(F487,F539,F591)</f>
        <v>676.33333333333337</v>
      </c>
    </row>
    <row r="644" spans="1:12" ht="14.25" x14ac:dyDescent="0.2">
      <c r="A644" s="21">
        <f t="shared" si="2803"/>
        <v>43099</v>
      </c>
      <c r="B644" s="3">
        <v>181</v>
      </c>
      <c r="C644" s="3">
        <v>46</v>
      </c>
      <c r="D644" s="3">
        <v>171</v>
      </c>
      <c r="E644" s="3">
        <f t="shared" ref="E644" si="2818">SUM(B644:D644)</f>
        <v>398</v>
      </c>
      <c r="F644" s="52">
        <v>895</v>
      </c>
      <c r="G644" s="3">
        <f t="shared" ref="G644" si="2819">F644-E644</f>
        <v>497</v>
      </c>
      <c r="H644" s="49">
        <f t="shared" ref="H644" si="2820">(F644-F643)/F643</f>
        <v>0.22939560439560439</v>
      </c>
      <c r="I644" s="57">
        <f t="shared" ref="I644" si="2821">(E644-E643)/E643</f>
        <v>5.0505050505050509E-3</v>
      </c>
      <c r="J644" s="30">
        <f t="shared" ref="J644" si="2822">E644-E643</f>
        <v>2</v>
      </c>
      <c r="K644" s="13">
        <f t="shared" ref="K644" si="2823">(F644-F592)/F592</f>
        <v>9.5471236230110154E-2</v>
      </c>
      <c r="L644" s="3">
        <f t="shared" ref="L644" si="2824">AVERAGE(F488,F540,F592)</f>
        <v>749.33333333333337</v>
      </c>
    </row>
    <row r="645" spans="1:12" ht="14.25" x14ac:dyDescent="0.2">
      <c r="A645" s="21">
        <f t="shared" si="2803"/>
        <v>43106</v>
      </c>
      <c r="B645" s="3">
        <v>45</v>
      </c>
      <c r="C645" s="3">
        <v>44</v>
      </c>
      <c r="D645" s="3">
        <v>52</v>
      </c>
      <c r="E645" s="3">
        <f t="shared" ref="E645" si="2825">SUM(B645:D645)</f>
        <v>141</v>
      </c>
      <c r="F645" s="52">
        <v>816</v>
      </c>
      <c r="G645" s="3">
        <f t="shared" ref="G645" si="2826">F645-E645</f>
        <v>675</v>
      </c>
      <c r="H645" s="49">
        <f t="shared" ref="H645" si="2827">(F645-F644)/F644</f>
        <v>-8.826815642458101E-2</v>
      </c>
      <c r="I645" s="57">
        <f t="shared" ref="I645" si="2828">(E645-E644)/E644</f>
        <v>-0.64572864321608037</v>
      </c>
      <c r="J645" s="30">
        <f t="shared" ref="J645" si="2829">E645-E644</f>
        <v>-257</v>
      </c>
      <c r="K645" s="13">
        <f t="shared" ref="K645" si="2830">(F645-F593)/F593</f>
        <v>0.21248142644873699</v>
      </c>
      <c r="L645" s="3">
        <f t="shared" ref="L645" si="2831">AVERAGE(F489,F541,F593)</f>
        <v>815</v>
      </c>
    </row>
    <row r="646" spans="1:12" ht="14.25" x14ac:dyDescent="0.2">
      <c r="A646" s="21">
        <f t="shared" si="2803"/>
        <v>43113</v>
      </c>
      <c r="B646" s="3">
        <v>70</v>
      </c>
      <c r="C646" s="3">
        <v>13</v>
      </c>
      <c r="D646" s="3">
        <v>93</v>
      </c>
      <c r="E646" s="3">
        <f t="shared" ref="E646" si="2832">SUM(B646:D646)</f>
        <v>176</v>
      </c>
      <c r="F646" s="52">
        <v>747</v>
      </c>
      <c r="G646" s="3">
        <f t="shared" ref="G646" si="2833">F646-E646</f>
        <v>571</v>
      </c>
      <c r="H646" s="49">
        <f t="shared" ref="H646" si="2834">(F646-F645)/F645</f>
        <v>-8.455882352941177E-2</v>
      </c>
      <c r="I646" s="57">
        <f t="shared" ref="I646" si="2835">(E646-E645)/E645</f>
        <v>0.24822695035460993</v>
      </c>
      <c r="J646" s="30">
        <f t="shared" ref="J646" si="2836">E646-E645</f>
        <v>35</v>
      </c>
      <c r="K646" s="13">
        <f t="shared" ref="K646" si="2837">(F646-F594)/F594</f>
        <v>-0.10431654676258993</v>
      </c>
      <c r="L646" s="3">
        <f t="shared" ref="L646" si="2838">AVERAGE(F490,F542,F594)</f>
        <v>783.66666666666663</v>
      </c>
    </row>
    <row r="647" spans="1:12" ht="14.25" x14ac:dyDescent="0.2">
      <c r="A647" s="21">
        <f t="shared" si="2803"/>
        <v>43120</v>
      </c>
      <c r="B647" s="3">
        <v>36</v>
      </c>
      <c r="C647" s="3">
        <v>46</v>
      </c>
      <c r="D647" s="3">
        <v>213</v>
      </c>
      <c r="E647" s="3">
        <f t="shared" ref="E647" si="2839">SUM(B647:D647)</f>
        <v>295</v>
      </c>
      <c r="F647" s="52">
        <v>564</v>
      </c>
      <c r="G647" s="3">
        <f t="shared" ref="G647" si="2840">F647-E647</f>
        <v>269</v>
      </c>
      <c r="H647" s="49">
        <f t="shared" ref="H647" si="2841">(F647-F646)/F646</f>
        <v>-0.24497991967871485</v>
      </c>
      <c r="I647" s="57">
        <f t="shared" ref="I647" si="2842">(E647-E646)/E646</f>
        <v>0.67613636363636365</v>
      </c>
      <c r="J647" s="30">
        <f t="shared" ref="J647" si="2843">E647-E646</f>
        <v>119</v>
      </c>
      <c r="K647" s="13">
        <f t="shared" ref="K647" si="2844">(F647-F595)/F595</f>
        <v>-0.34265734265734266</v>
      </c>
      <c r="L647" s="3">
        <f t="shared" ref="L647" si="2845">AVERAGE(F491,F543,F595)</f>
        <v>762.66666666666663</v>
      </c>
    </row>
    <row r="648" spans="1:12" ht="14.25" x14ac:dyDescent="0.2">
      <c r="A648" s="21">
        <f t="shared" si="2803"/>
        <v>43127</v>
      </c>
      <c r="B648" s="3">
        <v>115</v>
      </c>
      <c r="C648" s="3">
        <v>40</v>
      </c>
      <c r="D648" s="3">
        <v>165</v>
      </c>
      <c r="E648" s="3">
        <f t="shared" ref="E648" si="2846">SUM(B648:D648)</f>
        <v>320</v>
      </c>
      <c r="F648" s="52">
        <v>780</v>
      </c>
      <c r="G648" s="3">
        <f t="shared" ref="G648" si="2847">F648-E648</f>
        <v>460</v>
      </c>
      <c r="H648" s="49">
        <f t="shared" ref="H648" si="2848">(F648-F647)/F647</f>
        <v>0.38297872340425532</v>
      </c>
      <c r="I648" s="57">
        <f t="shared" ref="I648" si="2849">(E648-E647)/E647</f>
        <v>8.4745762711864403E-2</v>
      </c>
      <c r="J648" s="30">
        <f t="shared" ref="J648" si="2850">E648-E647</f>
        <v>25</v>
      </c>
      <c r="K648" s="13">
        <f t="shared" ref="K648" si="2851">(F648-F596)/F596</f>
        <v>-0.22619047619047619</v>
      </c>
      <c r="L648" s="3">
        <f t="shared" ref="L648" si="2852">AVERAGE(F492,F544,F596)</f>
        <v>775.33333333333337</v>
      </c>
    </row>
    <row r="649" spans="1:12" ht="14.25" x14ac:dyDescent="0.2">
      <c r="A649" s="21">
        <f t="shared" si="2803"/>
        <v>43134</v>
      </c>
      <c r="B649" s="3">
        <v>129</v>
      </c>
      <c r="C649" s="3">
        <v>55</v>
      </c>
      <c r="D649" s="3">
        <v>225</v>
      </c>
      <c r="E649" s="3">
        <f t="shared" ref="E649" si="2853">SUM(B649:D649)</f>
        <v>409</v>
      </c>
      <c r="F649" s="52">
        <v>914</v>
      </c>
      <c r="G649" s="3">
        <f t="shared" ref="G649" si="2854">F649-E649</f>
        <v>505</v>
      </c>
      <c r="H649" s="49">
        <f t="shared" ref="H649" si="2855">(F649-F648)/F648</f>
        <v>0.1717948717948718</v>
      </c>
      <c r="I649" s="57">
        <f t="shared" ref="I649" si="2856">(E649-E648)/E648</f>
        <v>0.27812500000000001</v>
      </c>
      <c r="J649" s="30">
        <f t="shared" ref="J649" si="2857">E649-E648</f>
        <v>89</v>
      </c>
      <c r="K649" s="13">
        <f t="shared" ref="K649" si="2858">(F649-F597)/F597</f>
        <v>-3.4846884899683211E-2</v>
      </c>
      <c r="L649" s="3">
        <f t="shared" ref="L649" si="2859">AVERAGE(F493,F545,F597)</f>
        <v>816.66666666666663</v>
      </c>
    </row>
    <row r="650" spans="1:12" ht="14.25" x14ac:dyDescent="0.2">
      <c r="A650" s="21">
        <f t="shared" si="2803"/>
        <v>43141</v>
      </c>
      <c r="B650" s="3">
        <v>225</v>
      </c>
      <c r="C650" s="3">
        <v>59</v>
      </c>
      <c r="D650" s="3">
        <v>194</v>
      </c>
      <c r="E650" s="3">
        <f t="shared" ref="E650" si="2860">SUM(B650:D650)</f>
        <v>478</v>
      </c>
      <c r="F650" s="52">
        <v>750</v>
      </c>
      <c r="G650" s="3">
        <f t="shared" ref="G650" si="2861">F650-E650</f>
        <v>272</v>
      </c>
      <c r="H650" s="49">
        <f t="shared" ref="H650" si="2862">(F650-F649)/F649</f>
        <v>-0.17943107221006566</v>
      </c>
      <c r="I650" s="57">
        <f t="shared" ref="I650" si="2863">(E650-E649)/E649</f>
        <v>0.1687041564792176</v>
      </c>
      <c r="J650" s="30">
        <f t="shared" ref="J650" si="2864">E650-E649</f>
        <v>69</v>
      </c>
      <c r="K650" s="13">
        <f t="shared" ref="K650" si="2865">(F650-F598)/F598</f>
        <v>-0.20297555791710944</v>
      </c>
      <c r="L650" s="3">
        <f t="shared" ref="L650" si="2866">AVERAGE(F494,F546,F598)</f>
        <v>879.33333333333337</v>
      </c>
    </row>
    <row r="651" spans="1:12" ht="14.25" x14ac:dyDescent="0.2">
      <c r="A651" s="21">
        <f t="shared" si="2803"/>
        <v>43148</v>
      </c>
      <c r="B651" s="3">
        <v>156</v>
      </c>
      <c r="C651" s="3">
        <v>54</v>
      </c>
      <c r="D651" s="3">
        <v>152</v>
      </c>
      <c r="E651" s="3">
        <f t="shared" ref="E651" si="2867">SUM(B651:D651)</f>
        <v>362</v>
      </c>
      <c r="F651" s="52">
        <v>545</v>
      </c>
      <c r="G651" s="3">
        <f t="shared" ref="G651" si="2868">F651-E651</f>
        <v>183</v>
      </c>
      <c r="H651" s="49">
        <f t="shared" ref="H651" si="2869">(F651-F650)/F650</f>
        <v>-0.27333333333333332</v>
      </c>
      <c r="I651" s="57">
        <f t="shared" ref="I651" si="2870">(E651-E650)/E650</f>
        <v>-0.24267782426778242</v>
      </c>
      <c r="J651" s="30">
        <f t="shared" ref="J651" si="2871">E651-E650</f>
        <v>-116</v>
      </c>
      <c r="K651" s="13">
        <f t="shared" ref="K651" si="2872">(F651-F599)/F599</f>
        <v>-0.38626126126126126</v>
      </c>
      <c r="L651" s="3">
        <f t="shared" ref="L651" si="2873">AVERAGE(F495,F547,F599)</f>
        <v>811.66666666666663</v>
      </c>
    </row>
    <row r="652" spans="1:12" ht="14.25" x14ac:dyDescent="0.2">
      <c r="A652" s="21">
        <f t="shared" si="2803"/>
        <v>43155</v>
      </c>
      <c r="B652" s="3">
        <v>190</v>
      </c>
      <c r="C652" s="3">
        <v>19</v>
      </c>
      <c r="D652" s="3">
        <v>55</v>
      </c>
      <c r="E652" s="3">
        <f t="shared" ref="E652" si="2874">SUM(B652:D652)</f>
        <v>264</v>
      </c>
      <c r="F652" s="52">
        <v>800</v>
      </c>
      <c r="G652" s="3">
        <f t="shared" ref="G652" si="2875">F652-E652</f>
        <v>536</v>
      </c>
      <c r="H652" s="49">
        <f t="shared" ref="H652" si="2876">(F652-F651)/F651</f>
        <v>0.46788990825688076</v>
      </c>
      <c r="I652" s="57">
        <f t="shared" ref="I652" si="2877">(E652-E651)/E651</f>
        <v>-0.27071823204419887</v>
      </c>
      <c r="J652" s="30">
        <f t="shared" ref="J652" si="2878">E652-E651</f>
        <v>-98</v>
      </c>
      <c r="K652" s="13">
        <f t="shared" ref="K652" si="2879">(F652-F600)/F600</f>
        <v>-1.8404907975460124E-2</v>
      </c>
      <c r="L652" s="3">
        <f t="shared" ref="L652" si="2880">AVERAGE(F496,F548,F600)</f>
        <v>760.33333333333337</v>
      </c>
    </row>
    <row r="653" spans="1:12" ht="14.25" x14ac:dyDescent="0.2">
      <c r="A653" s="21">
        <f t="shared" si="2803"/>
        <v>43162</v>
      </c>
      <c r="B653" s="3">
        <v>188</v>
      </c>
      <c r="C653" s="3">
        <v>5</v>
      </c>
      <c r="D653" s="3">
        <v>59</v>
      </c>
      <c r="E653" s="3">
        <f t="shared" ref="E653" si="2881">SUM(B653:D653)</f>
        <v>252</v>
      </c>
      <c r="F653" s="52">
        <v>751</v>
      </c>
      <c r="G653" s="3">
        <f t="shared" ref="G653" si="2882">F653-E653</f>
        <v>499</v>
      </c>
      <c r="H653" s="49">
        <f t="shared" ref="H653" si="2883">(F653-F652)/F652</f>
        <v>-6.1249999999999999E-2</v>
      </c>
      <c r="I653" s="57">
        <f t="shared" ref="I653" si="2884">(E653-E652)/E652</f>
        <v>-4.5454545454545456E-2</v>
      </c>
      <c r="J653" s="30">
        <f t="shared" ref="J653" si="2885">E653-E652</f>
        <v>-12</v>
      </c>
      <c r="K653" s="13">
        <f t="shared" ref="K653" si="2886">(F653-F601)/F601</f>
        <v>-8.748481166464156E-2</v>
      </c>
      <c r="L653" s="3">
        <f t="shared" ref="L653" si="2887">AVERAGE(F497,F549,F601)</f>
        <v>713</v>
      </c>
    </row>
    <row r="654" spans="1:12" ht="14.25" x14ac:dyDescent="0.2">
      <c r="A654" s="21">
        <f t="shared" si="2803"/>
        <v>43169</v>
      </c>
      <c r="B654" s="3">
        <v>178</v>
      </c>
      <c r="C654" s="3">
        <v>62</v>
      </c>
      <c r="D654" s="3">
        <v>13</v>
      </c>
      <c r="E654" s="3">
        <f t="shared" ref="E654" si="2888">SUM(B654:D654)</f>
        <v>253</v>
      </c>
      <c r="F654" s="52">
        <v>721</v>
      </c>
      <c r="G654" s="3">
        <f t="shared" ref="G654" si="2889">F654-E654</f>
        <v>468</v>
      </c>
      <c r="H654" s="49">
        <f t="shared" ref="H654" si="2890">(F654-F653)/F653</f>
        <v>-3.9946737683089213E-2</v>
      </c>
      <c r="I654" s="58">
        <f t="shared" ref="I654" si="2891">(E654-E653)/E653</f>
        <v>3.968253968253968E-3</v>
      </c>
      <c r="J654" s="30">
        <f t="shared" ref="J654" si="2892">E654-E653</f>
        <v>1</v>
      </c>
      <c r="K654" s="13">
        <f t="shared" ref="K654" si="2893">(F654-F602)/F602</f>
        <v>-9.4221105527638196E-2</v>
      </c>
      <c r="L654" s="3">
        <f t="shared" ref="L654" si="2894">AVERAGE(F498,F550,F602)</f>
        <v>621</v>
      </c>
    </row>
    <row r="655" spans="1:12" ht="14.25" x14ac:dyDescent="0.2">
      <c r="A655" s="21">
        <f t="shared" si="2803"/>
        <v>43176</v>
      </c>
      <c r="B655" s="3">
        <v>392</v>
      </c>
      <c r="C655" s="3">
        <v>26</v>
      </c>
      <c r="D655" s="3">
        <v>119</v>
      </c>
      <c r="E655" s="3">
        <f t="shared" ref="E655" si="2895">SUM(B655:D655)</f>
        <v>537</v>
      </c>
      <c r="F655" s="52">
        <v>569</v>
      </c>
      <c r="G655" s="3">
        <f t="shared" ref="G655" si="2896">F655-E655</f>
        <v>32</v>
      </c>
      <c r="H655" s="49">
        <f t="shared" ref="H655" si="2897">(F655-F654)/F654</f>
        <v>-0.21081830790568654</v>
      </c>
      <c r="I655" s="58">
        <f t="shared" ref="I655" si="2898">(E655-E654)/E654</f>
        <v>1.1225296442687747</v>
      </c>
      <c r="J655" s="30">
        <f t="shared" ref="J655" si="2899">E655-E654</f>
        <v>284</v>
      </c>
      <c r="K655" s="13">
        <f t="shared" ref="K655" si="2900">(F655-F603)/F603</f>
        <v>-0.13394216133942161</v>
      </c>
      <c r="L655" s="3">
        <f t="shared" ref="L655" si="2901">AVERAGE(F499,F551,F603)</f>
        <v>571</v>
      </c>
    </row>
    <row r="656" spans="1:12" ht="14.25" x14ac:dyDescent="0.2">
      <c r="A656" s="21">
        <f t="shared" si="2803"/>
        <v>43183</v>
      </c>
      <c r="B656" s="3">
        <v>319</v>
      </c>
      <c r="C656" s="3">
        <v>74</v>
      </c>
      <c r="D656" s="3">
        <v>197</v>
      </c>
      <c r="E656" s="3">
        <f t="shared" ref="E656" si="2902">SUM(B656:D656)</f>
        <v>590</v>
      </c>
      <c r="F656" s="52">
        <v>560</v>
      </c>
      <c r="G656" s="3">
        <f t="shared" ref="G656" si="2903">F656-E656</f>
        <v>-30</v>
      </c>
      <c r="H656" s="49">
        <f t="shared" ref="H656" si="2904">(F656-F655)/F655</f>
        <v>-1.5817223198594025E-2</v>
      </c>
      <c r="I656" s="58">
        <f t="shared" ref="I656" si="2905">(E656-E655)/E655</f>
        <v>9.8696461824953452E-2</v>
      </c>
      <c r="J656" s="30">
        <f t="shared" ref="J656" si="2906">E656-E655</f>
        <v>53</v>
      </c>
      <c r="K656" s="13">
        <f t="shared" ref="K656" si="2907">(F656-F604)/F604</f>
        <v>-0.29382093316519547</v>
      </c>
      <c r="L656" s="3">
        <f t="shared" ref="L656" si="2908">AVERAGE(F500,F552,F604)</f>
        <v>633.66666666666663</v>
      </c>
    </row>
    <row r="657" spans="1:12" ht="14.25" x14ac:dyDescent="0.2">
      <c r="A657" s="21">
        <f t="shared" si="2803"/>
        <v>43190</v>
      </c>
      <c r="B657" s="3">
        <v>329</v>
      </c>
      <c r="C657" s="3">
        <v>11</v>
      </c>
      <c r="D657" s="3">
        <v>102</v>
      </c>
      <c r="E657" s="3">
        <f t="shared" ref="E657" si="2909">SUM(B657:D657)</f>
        <v>442</v>
      </c>
      <c r="F657" s="52">
        <v>610</v>
      </c>
      <c r="G657" s="3">
        <f t="shared" ref="G657" si="2910">F657-E657</f>
        <v>168</v>
      </c>
      <c r="H657" s="49">
        <f t="shared" ref="H657" si="2911">(F657-F656)/F656</f>
        <v>8.9285714285714288E-2</v>
      </c>
      <c r="I657" s="58">
        <f t="shared" ref="I657" si="2912">(E657-E656)/E656</f>
        <v>-0.25084745762711863</v>
      </c>
      <c r="J657" s="30">
        <f t="shared" ref="J657" si="2913">E657-E656</f>
        <v>-148</v>
      </c>
      <c r="K657" s="13">
        <f t="shared" ref="K657" si="2914">(F657-F605)/F605</f>
        <v>-0.27380952380952384</v>
      </c>
      <c r="L657" s="3">
        <f t="shared" ref="L657" si="2915">AVERAGE(F501,F553,F605)</f>
        <v>605.33333333333337</v>
      </c>
    </row>
    <row r="658" spans="1:12" ht="14.25" x14ac:dyDescent="0.2">
      <c r="A658" s="21">
        <f t="shared" si="2803"/>
        <v>43197</v>
      </c>
      <c r="B658" s="3">
        <v>223</v>
      </c>
      <c r="C658" s="3">
        <v>57</v>
      </c>
      <c r="D658" s="3">
        <v>115</v>
      </c>
      <c r="E658" s="3">
        <f t="shared" ref="E658" si="2916">SUM(B658:D658)</f>
        <v>395</v>
      </c>
      <c r="F658" s="52">
        <v>792</v>
      </c>
      <c r="G658" s="3">
        <f t="shared" ref="G658" si="2917">F658-E658</f>
        <v>397</v>
      </c>
      <c r="H658" s="49">
        <f t="shared" ref="H658" si="2918">(F658-F657)/F657</f>
        <v>0.29836065573770493</v>
      </c>
      <c r="I658" s="58">
        <f t="shared" ref="I658" si="2919">(E658-E657)/E657</f>
        <v>-0.10633484162895927</v>
      </c>
      <c r="J658" s="30">
        <f t="shared" ref="J658" si="2920">E658-E657</f>
        <v>-47</v>
      </c>
      <c r="K658" s="13">
        <f t="shared" ref="K658" si="2921">(F658-F606)/F606</f>
        <v>0.21100917431192662</v>
      </c>
      <c r="L658" s="3">
        <f t="shared" ref="L658" si="2922">AVERAGE(F502,F554,F606)</f>
        <v>603.33333333333337</v>
      </c>
    </row>
    <row r="659" spans="1:12" ht="14.25" x14ac:dyDescent="0.2">
      <c r="A659" s="21">
        <f t="shared" si="2803"/>
        <v>43204</v>
      </c>
      <c r="B659" s="3">
        <v>249</v>
      </c>
      <c r="C659" s="3">
        <v>18</v>
      </c>
      <c r="D659" s="3">
        <v>112</v>
      </c>
      <c r="E659" s="3">
        <f t="shared" ref="E659" si="2923">SUM(B659:D659)</f>
        <v>379</v>
      </c>
      <c r="F659" s="52">
        <v>748</v>
      </c>
      <c r="G659" s="3">
        <f t="shared" ref="G659" si="2924">F659-E659</f>
        <v>369</v>
      </c>
      <c r="H659" s="49">
        <f t="shared" ref="H659" si="2925">(F659-F658)/F658</f>
        <v>-5.5555555555555552E-2</v>
      </c>
      <c r="I659" s="58">
        <f t="shared" ref="I659" si="2926">(E659-E658)/E658</f>
        <v>-4.0506329113924051E-2</v>
      </c>
      <c r="J659" s="30">
        <f t="shared" ref="J659" si="2927">E659-E658</f>
        <v>-16</v>
      </c>
      <c r="K659" s="13">
        <f t="shared" ref="K659" si="2928">(F659-F607)/F607</f>
        <v>0.15254237288135594</v>
      </c>
      <c r="L659" s="3">
        <f t="shared" ref="L659" si="2929">AVERAGE(F503,F555,F607)</f>
        <v>543.66666666666663</v>
      </c>
    </row>
    <row r="660" spans="1:12" ht="14.25" x14ac:dyDescent="0.2">
      <c r="A660" s="21">
        <f t="shared" si="2803"/>
        <v>43211</v>
      </c>
      <c r="B660" s="3">
        <v>307</v>
      </c>
      <c r="C660" s="3">
        <v>63</v>
      </c>
      <c r="D660" s="3">
        <v>82</v>
      </c>
      <c r="E660" s="3">
        <f t="shared" ref="E660" si="2930">SUM(B660:D660)</f>
        <v>452</v>
      </c>
      <c r="F660" s="52">
        <v>708</v>
      </c>
      <c r="G660" s="3">
        <f t="shared" ref="G660" si="2931">F660-E660</f>
        <v>256</v>
      </c>
      <c r="H660" s="49">
        <f t="shared" ref="H660" si="2932">(F660-F659)/F659</f>
        <v>-5.3475935828877004E-2</v>
      </c>
      <c r="I660" s="58">
        <f t="shared" ref="I660" si="2933">(E660-E659)/E659</f>
        <v>0.19261213720316622</v>
      </c>
      <c r="J660" s="30">
        <f t="shared" ref="J660" si="2934">E660-E659</f>
        <v>73</v>
      </c>
      <c r="K660" s="13">
        <f t="shared" ref="K660" si="2935">(F660-F608)/F608</f>
        <v>0.14748784440842788</v>
      </c>
      <c r="L660" s="3">
        <f t="shared" ref="L660" si="2936">AVERAGE(F504,F556,F608)</f>
        <v>653.33333333333337</v>
      </c>
    </row>
    <row r="661" spans="1:12" ht="14.25" x14ac:dyDescent="0.2">
      <c r="A661" s="21">
        <f t="shared" si="2803"/>
        <v>43218</v>
      </c>
      <c r="B661" s="3">
        <v>359</v>
      </c>
      <c r="C661" s="3">
        <v>21</v>
      </c>
      <c r="D661" s="3">
        <v>93</v>
      </c>
      <c r="E661" s="3">
        <f t="shared" ref="E661" si="2937">SUM(B661:D661)</f>
        <v>473</v>
      </c>
      <c r="F661" s="52">
        <v>656</v>
      </c>
      <c r="G661" s="3">
        <f t="shared" ref="G661" si="2938">F661-E661</f>
        <v>183</v>
      </c>
      <c r="H661" s="49">
        <f t="shared" ref="H661" si="2939">(F661-F660)/F660</f>
        <v>-7.3446327683615822E-2</v>
      </c>
      <c r="I661" s="58">
        <f t="shared" ref="I661" si="2940">(E661-E660)/E660</f>
        <v>4.6460176991150445E-2</v>
      </c>
      <c r="J661" s="30">
        <f t="shared" ref="J661" si="2941">E661-E660</f>
        <v>21</v>
      </c>
      <c r="K661" s="13">
        <f t="shared" ref="K661" si="2942">(F661-F609)/F609</f>
        <v>0.19708029197080293</v>
      </c>
      <c r="L661" s="3">
        <f t="shared" ref="L661" si="2943">AVERAGE(F505,F557,F609)</f>
        <v>576</v>
      </c>
    </row>
    <row r="662" spans="1:12" ht="14.25" x14ac:dyDescent="0.2">
      <c r="A662" s="21">
        <f t="shared" si="2803"/>
        <v>43225</v>
      </c>
      <c r="B662" s="3">
        <v>448</v>
      </c>
      <c r="C662" s="3">
        <v>66</v>
      </c>
      <c r="D662" s="3">
        <v>81</v>
      </c>
      <c r="E662" s="3">
        <f t="shared" ref="E662" si="2944">SUM(B662:D662)</f>
        <v>595</v>
      </c>
      <c r="F662" s="52">
        <v>690</v>
      </c>
      <c r="G662" s="3">
        <f t="shared" ref="G662" si="2945">F662-E662</f>
        <v>95</v>
      </c>
      <c r="H662" s="49">
        <f t="shared" ref="H662" si="2946">(F662-F661)/F661</f>
        <v>5.1829268292682924E-2</v>
      </c>
      <c r="I662" s="58">
        <f t="shared" ref="I662" si="2947">(E662-E661)/E661</f>
        <v>0.25792811839323465</v>
      </c>
      <c r="J662" s="30">
        <f t="shared" ref="J662" si="2948">E662-E661</f>
        <v>122</v>
      </c>
      <c r="K662" s="13">
        <f t="shared" ref="K662" si="2949">(F662-F610)/F610</f>
        <v>0.36363636363636365</v>
      </c>
      <c r="L662" s="3">
        <f t="shared" ref="L662" si="2950">AVERAGE(F506,F558,F610)</f>
        <v>607</v>
      </c>
    </row>
    <row r="663" spans="1:12" ht="14.25" x14ac:dyDescent="0.2">
      <c r="A663" s="21">
        <f t="shared" si="2803"/>
        <v>43232</v>
      </c>
      <c r="B663" s="3">
        <v>428</v>
      </c>
      <c r="C663" s="3">
        <v>22</v>
      </c>
      <c r="D663" s="3">
        <v>76</v>
      </c>
      <c r="E663" s="3">
        <f t="shared" ref="E663" si="2951">SUM(B663:D663)</f>
        <v>526</v>
      </c>
      <c r="F663" s="52">
        <v>759</v>
      </c>
      <c r="G663" s="3">
        <f t="shared" ref="G663" si="2952">F663-E663</f>
        <v>233</v>
      </c>
      <c r="H663" s="49">
        <f t="shared" ref="H663" si="2953">(F663-F662)/F662</f>
        <v>0.1</v>
      </c>
      <c r="I663" s="58">
        <f t="shared" ref="I663" si="2954">(E663-E662)/E662</f>
        <v>-0.11596638655462185</v>
      </c>
      <c r="J663" s="30">
        <f t="shared" ref="J663" si="2955">E663-E662</f>
        <v>-69</v>
      </c>
      <c r="K663" s="13">
        <f t="shared" ref="K663" si="2956">(F663-F611)/F611</f>
        <v>0.46242774566473988</v>
      </c>
      <c r="L663" s="3">
        <f t="shared" ref="L663" si="2957">AVERAGE(F507,F559,F611)</f>
        <v>603.33333333333337</v>
      </c>
    </row>
    <row r="664" spans="1:12" ht="14.25" x14ac:dyDescent="0.2">
      <c r="A664" s="21">
        <f t="shared" si="2803"/>
        <v>43239</v>
      </c>
      <c r="B664" s="3">
        <v>383</v>
      </c>
      <c r="C664" s="3">
        <v>62</v>
      </c>
      <c r="D664" s="3">
        <v>122</v>
      </c>
      <c r="E664" s="3">
        <f t="shared" ref="E664" si="2958">SUM(B664:D664)</f>
        <v>567</v>
      </c>
      <c r="F664" s="52">
        <v>697</v>
      </c>
      <c r="G664" s="3">
        <f t="shared" ref="G664" si="2959">F664-E664</f>
        <v>130</v>
      </c>
      <c r="H664" s="49">
        <f t="shared" ref="H664" si="2960">(F664-F663)/F663</f>
        <v>-8.1686429512516465E-2</v>
      </c>
      <c r="I664" s="58">
        <f t="shared" ref="I664" si="2961">(E664-E663)/E663</f>
        <v>7.7946768060836502E-2</v>
      </c>
      <c r="J664" s="30">
        <f t="shared" ref="J664" si="2962">E664-E663</f>
        <v>41</v>
      </c>
      <c r="K664" s="13">
        <f t="shared" ref="K664" si="2963">(F664-F612)/F612</f>
        <v>0.41955193482688391</v>
      </c>
      <c r="L664" s="3">
        <f t="shared" ref="L664" si="2964">AVERAGE(F508,F560,F612)</f>
        <v>532.33333333333337</v>
      </c>
    </row>
    <row r="665" spans="1:12" ht="14.25" x14ac:dyDescent="0.2">
      <c r="A665" s="21">
        <f t="shared" si="2803"/>
        <v>43246</v>
      </c>
      <c r="B665" s="3">
        <v>358</v>
      </c>
      <c r="C665" s="3">
        <v>31</v>
      </c>
      <c r="D665" s="3">
        <v>71</v>
      </c>
      <c r="E665" s="3">
        <f t="shared" ref="E665" si="2965">SUM(B665:D665)</f>
        <v>460</v>
      </c>
      <c r="F665" s="52">
        <v>707</v>
      </c>
      <c r="G665" s="3">
        <f t="shared" ref="G665" si="2966">F665-E665</f>
        <v>247</v>
      </c>
      <c r="H665" s="49">
        <f t="shared" ref="H665" si="2967">(F665-F664)/F664</f>
        <v>1.4347202295552367E-2</v>
      </c>
      <c r="I665" s="58">
        <f t="shared" ref="I665" si="2968">(E665-E664)/E664</f>
        <v>-0.18871252204585537</v>
      </c>
      <c r="J665" s="30">
        <f t="shared" ref="J665" si="2969">E665-E664</f>
        <v>-107</v>
      </c>
      <c r="K665" s="13">
        <f t="shared" ref="K665" si="2970">(F665-F613)/F613</f>
        <v>0.32645403377110693</v>
      </c>
      <c r="L665" s="3">
        <f t="shared" ref="L665" si="2971">AVERAGE(F509,F561,F613)</f>
        <v>473.33333333333331</v>
      </c>
    </row>
    <row r="666" spans="1:12" ht="14.25" x14ac:dyDescent="0.2">
      <c r="A666" s="21">
        <f t="shared" si="2803"/>
        <v>43253</v>
      </c>
      <c r="B666" s="3">
        <v>486</v>
      </c>
      <c r="C666" s="3">
        <v>30</v>
      </c>
      <c r="D666" s="3">
        <v>99</v>
      </c>
      <c r="E666" s="3">
        <f t="shared" ref="E666:E671" si="2972">SUM(B666:D666)</f>
        <v>615</v>
      </c>
      <c r="F666" s="52">
        <v>678</v>
      </c>
      <c r="G666" s="3">
        <f t="shared" ref="G666:G671" si="2973">F666-E666</f>
        <v>63</v>
      </c>
      <c r="H666" s="49">
        <f t="shared" ref="H666:H671" si="2974">(F666-F665)/F665</f>
        <v>-4.1018387553041019E-2</v>
      </c>
      <c r="I666" s="58">
        <f t="shared" ref="I666:I671" si="2975">(E666-E665)/E665</f>
        <v>0.33695652173913043</v>
      </c>
      <c r="J666" s="30">
        <f t="shared" ref="J666:J671" si="2976">E666-E665</f>
        <v>155</v>
      </c>
      <c r="K666" s="13">
        <f t="shared" ref="K666:K671" si="2977">(F666-F614)/F614</f>
        <v>0.45182012847965741</v>
      </c>
      <c r="L666" s="3">
        <f t="shared" ref="L666:L671" si="2978">AVERAGE(F510,F562,F614)</f>
        <v>515.33333333333337</v>
      </c>
    </row>
    <row r="667" spans="1:12" ht="14.25" x14ac:dyDescent="0.2">
      <c r="A667" s="21">
        <f t="shared" si="2803"/>
        <v>43260</v>
      </c>
      <c r="B667" s="3">
        <v>542</v>
      </c>
      <c r="C667" s="3">
        <v>33</v>
      </c>
      <c r="D667" s="3">
        <v>74</v>
      </c>
      <c r="E667" s="3">
        <f t="shared" si="2972"/>
        <v>649</v>
      </c>
      <c r="F667" s="52">
        <v>843</v>
      </c>
      <c r="G667" s="3">
        <f t="shared" si="2973"/>
        <v>194</v>
      </c>
      <c r="H667" s="49">
        <f t="shared" si="2974"/>
        <v>0.24336283185840707</v>
      </c>
      <c r="I667" s="58">
        <f t="shared" si="2975"/>
        <v>5.5284552845528454E-2</v>
      </c>
      <c r="J667" s="30">
        <f t="shared" si="2976"/>
        <v>34</v>
      </c>
      <c r="K667" s="13">
        <f t="shared" si="2977"/>
        <v>0.5786516853932584</v>
      </c>
      <c r="L667" s="3">
        <f t="shared" si="2978"/>
        <v>643</v>
      </c>
    </row>
    <row r="668" spans="1:12" ht="14.25" x14ac:dyDescent="0.2">
      <c r="A668" s="21">
        <f t="shared" si="2803"/>
        <v>43267</v>
      </c>
      <c r="B668" s="3">
        <v>651</v>
      </c>
      <c r="C668" s="3">
        <v>46</v>
      </c>
      <c r="D668" s="3">
        <v>62</v>
      </c>
      <c r="E668" s="3">
        <f t="shared" si="2972"/>
        <v>759</v>
      </c>
      <c r="F668" s="52">
        <v>615</v>
      </c>
      <c r="G668" s="3">
        <f t="shared" si="2973"/>
        <v>-144</v>
      </c>
      <c r="H668" s="49">
        <f t="shared" si="2974"/>
        <v>-0.27046263345195731</v>
      </c>
      <c r="I668" s="58">
        <f t="shared" si="2975"/>
        <v>0.16949152542372881</v>
      </c>
      <c r="J668" s="30">
        <f t="shared" si="2976"/>
        <v>110</v>
      </c>
      <c r="K668" s="13">
        <f t="shared" si="2977"/>
        <v>0.10611510791366907</v>
      </c>
      <c r="L668" s="3">
        <f t="shared" si="2978"/>
        <v>624</v>
      </c>
    </row>
    <row r="669" spans="1:12" ht="14.25" x14ac:dyDescent="0.2">
      <c r="A669" s="21">
        <f t="shared" si="2803"/>
        <v>43274</v>
      </c>
      <c r="B669" s="3">
        <v>604</v>
      </c>
      <c r="C669" s="3">
        <v>29</v>
      </c>
      <c r="D669" s="3">
        <v>97</v>
      </c>
      <c r="E669" s="3">
        <f t="shared" si="2972"/>
        <v>730</v>
      </c>
      <c r="F669" s="52">
        <v>806</v>
      </c>
      <c r="G669" s="3">
        <f t="shared" si="2973"/>
        <v>76</v>
      </c>
      <c r="H669" s="49">
        <f t="shared" si="2974"/>
        <v>0.31056910569105689</v>
      </c>
      <c r="I669" s="58">
        <f t="shared" si="2975"/>
        <v>-3.8208168642951248E-2</v>
      </c>
      <c r="J669" s="30">
        <f t="shared" si="2976"/>
        <v>-29</v>
      </c>
      <c r="K669" s="13">
        <f t="shared" si="2977"/>
        <v>0.6791666666666667</v>
      </c>
      <c r="L669" s="3">
        <f t="shared" si="2978"/>
        <v>530.66666666666663</v>
      </c>
    </row>
    <row r="670" spans="1:12" ht="14.25" x14ac:dyDescent="0.2">
      <c r="A670" s="21">
        <f t="shared" si="2803"/>
        <v>43281</v>
      </c>
      <c r="B670" s="3">
        <v>473</v>
      </c>
      <c r="C670" s="3">
        <v>40</v>
      </c>
      <c r="D670" s="3">
        <v>75</v>
      </c>
      <c r="E670" s="3">
        <f t="shared" si="2972"/>
        <v>588</v>
      </c>
      <c r="F670" s="52">
        <v>790</v>
      </c>
      <c r="G670" s="3">
        <f t="shared" si="2973"/>
        <v>202</v>
      </c>
      <c r="H670" s="49">
        <f t="shared" si="2974"/>
        <v>-1.9851116625310174E-2</v>
      </c>
      <c r="I670" s="58">
        <f t="shared" si="2975"/>
        <v>-0.19452054794520549</v>
      </c>
      <c r="J670" s="30">
        <f t="shared" si="2976"/>
        <v>-142</v>
      </c>
      <c r="K670" s="13">
        <f t="shared" si="2977"/>
        <v>0.16005873715124816</v>
      </c>
      <c r="L670" s="3">
        <f t="shared" si="2978"/>
        <v>564.66666666666663</v>
      </c>
    </row>
    <row r="671" spans="1:12" ht="14.25" x14ac:dyDescent="0.2">
      <c r="A671" s="21">
        <f t="shared" si="2803"/>
        <v>43288</v>
      </c>
      <c r="B671" s="3">
        <v>597</v>
      </c>
      <c r="C671" s="3">
        <v>30</v>
      </c>
      <c r="D671" s="3">
        <v>113</v>
      </c>
      <c r="E671" s="3">
        <f t="shared" si="2972"/>
        <v>740</v>
      </c>
      <c r="F671" s="52">
        <v>710</v>
      </c>
      <c r="G671" s="3">
        <f t="shared" si="2973"/>
        <v>-30</v>
      </c>
      <c r="H671" s="49">
        <f t="shared" si="2974"/>
        <v>-0.10126582278481013</v>
      </c>
      <c r="I671" s="58">
        <f t="shared" si="2975"/>
        <v>0.25850340136054423</v>
      </c>
      <c r="J671" s="30">
        <f t="shared" si="2976"/>
        <v>152</v>
      </c>
      <c r="K671" s="13">
        <f t="shared" si="2977"/>
        <v>0.16393442622950818</v>
      </c>
      <c r="L671" s="3">
        <f t="shared" si="2978"/>
        <v>678.66666666666663</v>
      </c>
    </row>
    <row r="672" spans="1:12" ht="14.25" x14ac:dyDescent="0.2">
      <c r="A672" s="21">
        <f t="shared" si="2803"/>
        <v>43295</v>
      </c>
      <c r="B672" s="3">
        <v>395</v>
      </c>
      <c r="C672" s="3">
        <v>25</v>
      </c>
      <c r="D672" s="3">
        <v>53</v>
      </c>
      <c r="E672" s="3">
        <f t="shared" ref="E672" si="2979">SUM(B672:D672)</f>
        <v>473</v>
      </c>
      <c r="F672" s="52">
        <v>776</v>
      </c>
      <c r="G672" s="3">
        <f t="shared" ref="G672" si="2980">F672-E672</f>
        <v>303</v>
      </c>
      <c r="H672" s="49">
        <f t="shared" ref="H672" si="2981">(F672-F671)/F671</f>
        <v>9.295774647887324E-2</v>
      </c>
      <c r="I672" s="58">
        <f t="shared" ref="I672" si="2982">(E672-E671)/E671</f>
        <v>-0.36081081081081079</v>
      </c>
      <c r="J672" s="30">
        <f t="shared" ref="J672" si="2983">E672-E671</f>
        <v>-267</v>
      </c>
      <c r="K672" s="13">
        <f t="shared" ref="K672" si="2984">(F672-F620)/F620</f>
        <v>0.1513353115727003</v>
      </c>
      <c r="L672" s="3">
        <f t="shared" ref="L672" si="2985">AVERAGE(F516,F568,F620)</f>
        <v>615.33333333333337</v>
      </c>
    </row>
    <row r="673" spans="1:12" ht="14.25" x14ac:dyDescent="0.2">
      <c r="A673" s="21">
        <f t="shared" si="2803"/>
        <v>43302</v>
      </c>
      <c r="B673" s="3">
        <v>325</v>
      </c>
      <c r="C673" s="3">
        <v>25</v>
      </c>
      <c r="D673" s="3">
        <v>71</v>
      </c>
      <c r="E673" s="3">
        <f t="shared" ref="E673" si="2986">SUM(B673:D673)</f>
        <v>421</v>
      </c>
      <c r="F673" s="52">
        <v>803</v>
      </c>
      <c r="G673" s="3">
        <f t="shared" ref="G673" si="2987">F673-E673</f>
        <v>382</v>
      </c>
      <c r="H673" s="49">
        <f t="shared" ref="H673" si="2988">(F673-F672)/F672</f>
        <v>3.4793814432989692E-2</v>
      </c>
      <c r="I673" s="58">
        <f t="shared" ref="I673" si="2989">(E673-E672)/E672</f>
        <v>-0.10993657505285412</v>
      </c>
      <c r="J673" s="30">
        <f t="shared" ref="J673" si="2990">E673-E672</f>
        <v>-52</v>
      </c>
      <c r="K673" s="13">
        <f t="shared" ref="K673" si="2991">(F673-F621)/F621</f>
        <v>0.17055393586005832</v>
      </c>
      <c r="L673" s="3">
        <f t="shared" ref="L673" si="2992">AVERAGE(F517,F569,F621)</f>
        <v>695.66666666666663</v>
      </c>
    </row>
    <row r="674" spans="1:12" ht="14.25" x14ac:dyDescent="0.2">
      <c r="A674" s="21">
        <f t="shared" si="2803"/>
        <v>43309</v>
      </c>
      <c r="B674" s="3">
        <v>488</v>
      </c>
      <c r="C674" s="3">
        <v>27</v>
      </c>
      <c r="D674" s="3">
        <v>74</v>
      </c>
      <c r="E674" s="3">
        <f t="shared" ref="E674" si="2993">SUM(B674:D674)</f>
        <v>589</v>
      </c>
      <c r="F674" s="52">
        <v>923</v>
      </c>
      <c r="G674" s="3">
        <f t="shared" ref="G674" si="2994">F674-E674</f>
        <v>334</v>
      </c>
      <c r="H674" s="49">
        <f t="shared" ref="H674" si="2995">(F674-F673)/F673</f>
        <v>0.149439601494396</v>
      </c>
      <c r="I674" s="58">
        <f t="shared" ref="I674" si="2996">(E674-E673)/E673</f>
        <v>0.39904988123515439</v>
      </c>
      <c r="J674" s="30">
        <f t="shared" ref="J674" si="2997">E674-E673</f>
        <v>168</v>
      </c>
      <c r="K674" s="13">
        <f t="shared" ref="K674" si="2998">(F674-F622)/F622</f>
        <v>0.44218750000000001</v>
      </c>
      <c r="L674" s="3">
        <f t="shared" ref="L674" si="2999">AVERAGE(F518,F570,F622)</f>
        <v>606.66666666666663</v>
      </c>
    </row>
    <row r="675" spans="1:12" ht="14.25" x14ac:dyDescent="0.2">
      <c r="A675" s="21">
        <f t="shared" si="2803"/>
        <v>43316</v>
      </c>
      <c r="B675" s="3">
        <v>417</v>
      </c>
      <c r="C675" s="3">
        <v>17</v>
      </c>
      <c r="D675" s="3">
        <v>72</v>
      </c>
      <c r="E675" s="3">
        <f t="shared" ref="E675" si="3000">SUM(B675:D675)</f>
        <v>506</v>
      </c>
      <c r="F675" s="52">
        <v>731</v>
      </c>
      <c r="G675" s="3">
        <f t="shared" ref="G675" si="3001">F675-E675</f>
        <v>225</v>
      </c>
      <c r="H675" s="49">
        <f t="shared" ref="H675:H680" si="3002">(F675-F674)/F674</f>
        <v>-0.20801733477789816</v>
      </c>
      <c r="I675" s="58">
        <f t="shared" ref="I675" si="3003">(E675-E674)/E674</f>
        <v>-0.14091680814940577</v>
      </c>
      <c r="J675" s="30">
        <f t="shared" ref="J675:J680" si="3004">E675-E674</f>
        <v>-83</v>
      </c>
      <c r="K675" s="13">
        <f t="shared" ref="K675" si="3005">(F675-F623)/F623</f>
        <v>0.15481832543443919</v>
      </c>
      <c r="L675" s="3">
        <f t="shared" ref="L675" si="3006">AVERAGE(F519,F571,F623)</f>
        <v>646.66666666666663</v>
      </c>
    </row>
    <row r="676" spans="1:12" ht="14.25" x14ac:dyDescent="0.2">
      <c r="A676" s="21">
        <f t="shared" si="2803"/>
        <v>43323</v>
      </c>
      <c r="B676" s="3">
        <v>516</v>
      </c>
      <c r="C676" s="3">
        <v>32</v>
      </c>
      <c r="D676" s="3">
        <v>57</v>
      </c>
      <c r="E676" s="3">
        <f t="shared" ref="E676" si="3007">SUM(B676:D676)</f>
        <v>605</v>
      </c>
      <c r="F676" s="52">
        <v>667</v>
      </c>
      <c r="G676" s="3">
        <f t="shared" ref="G676" si="3008">F676-E676</f>
        <v>62</v>
      </c>
      <c r="H676" s="49">
        <f t="shared" si="3002"/>
        <v>-8.7551299589603282E-2</v>
      </c>
      <c r="I676" s="58">
        <f t="shared" ref="I676" si="3009">(E676-E675)/E675</f>
        <v>0.19565217391304349</v>
      </c>
      <c r="J676" s="30">
        <f t="shared" si="3004"/>
        <v>99</v>
      </c>
      <c r="K676" s="13">
        <f t="shared" ref="K676" si="3010">(F676-F624)/F624</f>
        <v>0.11166666666666666</v>
      </c>
      <c r="L676" s="3">
        <f t="shared" ref="L676" si="3011">AVERAGE(F520,F572,F624)</f>
        <v>665</v>
      </c>
    </row>
    <row r="677" spans="1:12" ht="14.25" x14ac:dyDescent="0.2">
      <c r="A677" s="21">
        <f t="shared" si="2803"/>
        <v>43330</v>
      </c>
      <c r="B677" s="3">
        <v>338</v>
      </c>
      <c r="C677" s="3">
        <v>23</v>
      </c>
      <c r="D677" s="3">
        <v>80</v>
      </c>
      <c r="E677" s="3">
        <f t="shared" ref="E677" si="3012">SUM(B677:D677)</f>
        <v>441</v>
      </c>
      <c r="F677" s="52">
        <v>731</v>
      </c>
      <c r="G677" s="3">
        <f t="shared" ref="G677" si="3013">F677-E677</f>
        <v>290</v>
      </c>
      <c r="H677" s="49">
        <f t="shared" si="3002"/>
        <v>9.5952023988005994E-2</v>
      </c>
      <c r="I677" s="58">
        <f t="shared" ref="I677" si="3014">(E677-E676)/E676</f>
        <v>-0.27107438016528923</v>
      </c>
      <c r="J677" s="30">
        <f t="shared" si="3004"/>
        <v>-164</v>
      </c>
      <c r="K677" s="13">
        <f t="shared" ref="K677" si="3015">(F677-F625)/F625</f>
        <v>7.9763663220088626E-2</v>
      </c>
      <c r="L677" s="3">
        <f t="shared" ref="L677" si="3016">AVERAGE(F521,F573,F625)</f>
        <v>708</v>
      </c>
    </row>
    <row r="678" spans="1:12" ht="14.25" x14ac:dyDescent="0.2">
      <c r="A678" s="21">
        <f t="shared" si="2803"/>
        <v>43337</v>
      </c>
      <c r="B678" s="3">
        <v>499</v>
      </c>
      <c r="C678" s="3">
        <v>14</v>
      </c>
      <c r="D678" s="3">
        <v>57</v>
      </c>
      <c r="E678" s="3">
        <f t="shared" ref="E678" si="3017">SUM(B678:D678)</f>
        <v>570</v>
      </c>
      <c r="F678" s="52">
        <v>750</v>
      </c>
      <c r="G678" s="3">
        <f t="shared" ref="G678" si="3018">F678-E678</f>
        <v>180</v>
      </c>
      <c r="H678" s="49">
        <f t="shared" si="3002"/>
        <v>2.5991792065663474E-2</v>
      </c>
      <c r="I678" s="58">
        <f t="shared" ref="I678" si="3019">(E678-E677)/E677</f>
        <v>0.29251700680272108</v>
      </c>
      <c r="J678" s="30">
        <f t="shared" si="3004"/>
        <v>129</v>
      </c>
      <c r="K678" s="13">
        <f t="shared" ref="K678" si="3020">(F678-F626)/F626</f>
        <v>0.13293051359516617</v>
      </c>
      <c r="L678" s="3">
        <f t="shared" ref="L678" si="3021">AVERAGE(F522,F574,F626)</f>
        <v>691</v>
      </c>
    </row>
    <row r="679" spans="1:12" ht="14.25" x14ac:dyDescent="0.2">
      <c r="A679" s="21">
        <f t="shared" si="2803"/>
        <v>43344</v>
      </c>
      <c r="B679" s="3">
        <v>616</v>
      </c>
      <c r="C679" s="3">
        <v>23</v>
      </c>
      <c r="D679" s="3">
        <v>33</v>
      </c>
      <c r="E679" s="3">
        <f t="shared" ref="E679" si="3022">SUM(B679:D679)</f>
        <v>672</v>
      </c>
      <c r="F679" s="52">
        <v>723</v>
      </c>
      <c r="G679" s="3">
        <f t="shared" ref="G679" si="3023">F679-E679</f>
        <v>51</v>
      </c>
      <c r="H679" s="49">
        <f t="shared" si="3002"/>
        <v>-3.5999999999999997E-2</v>
      </c>
      <c r="I679" s="58">
        <f t="shared" ref="I679" si="3024">(E679-E678)/E678</f>
        <v>0.17894736842105263</v>
      </c>
      <c r="J679" s="30">
        <f t="shared" si="3004"/>
        <v>102</v>
      </c>
      <c r="K679" s="13">
        <f t="shared" ref="K679" si="3025">(F679-F627)/F627</f>
        <v>0.13322884012539185</v>
      </c>
      <c r="L679" s="3">
        <f t="shared" ref="L679" si="3026">AVERAGE(F523,F575,F627)</f>
        <v>766</v>
      </c>
    </row>
    <row r="680" spans="1:12" ht="14.25" x14ac:dyDescent="0.2">
      <c r="A680" s="21">
        <f t="shared" si="2803"/>
        <v>43351</v>
      </c>
      <c r="B680" s="3">
        <v>720</v>
      </c>
      <c r="C680" s="3">
        <v>22</v>
      </c>
      <c r="D680" s="3">
        <v>102</v>
      </c>
      <c r="E680" s="3">
        <f t="shared" ref="E680" si="3027">SUM(B680:D680)</f>
        <v>844</v>
      </c>
      <c r="F680" s="52">
        <v>722</v>
      </c>
      <c r="G680" s="3">
        <f t="shared" ref="G680" si="3028">F680-E680</f>
        <v>-122</v>
      </c>
      <c r="H680" s="49">
        <f t="shared" si="3002"/>
        <v>-1.3831258644536654E-3</v>
      </c>
      <c r="I680" s="58">
        <f t="shared" ref="I680" si="3029">(E680-E679)/E679</f>
        <v>0.25595238095238093</v>
      </c>
      <c r="J680" s="30">
        <f t="shared" si="3004"/>
        <v>172</v>
      </c>
      <c r="K680" s="13">
        <f t="shared" ref="K680" si="3030">(F680-F628)/F628</f>
        <v>-0.15158636897767333</v>
      </c>
      <c r="L680" s="3">
        <f t="shared" ref="L680" si="3031">AVERAGE(F524,F576,F628)</f>
        <v>784</v>
      </c>
    </row>
    <row r="681" spans="1:12" ht="14.25" x14ac:dyDescent="0.2">
      <c r="A681" s="21">
        <f t="shared" si="2803"/>
        <v>43358</v>
      </c>
      <c r="B681" s="3">
        <v>307</v>
      </c>
      <c r="C681" s="3">
        <v>15</v>
      </c>
      <c r="D681" s="3">
        <v>35</v>
      </c>
      <c r="E681" s="3">
        <f t="shared" ref="E681" si="3032">SUM(B681:D681)</f>
        <v>357</v>
      </c>
      <c r="F681" s="52">
        <v>778</v>
      </c>
      <c r="G681" s="3">
        <f t="shared" ref="G681" si="3033">F681-E681</f>
        <v>421</v>
      </c>
      <c r="H681" s="49">
        <f t="shared" ref="H681" si="3034">(F681-F680)/F680</f>
        <v>7.7562326869806089E-2</v>
      </c>
      <c r="I681" s="58">
        <f t="shared" ref="I681" si="3035">(E681-E680)/E680</f>
        <v>-0.57701421800947872</v>
      </c>
      <c r="J681" s="30">
        <f t="shared" ref="J681" si="3036">E681-E680</f>
        <v>-487</v>
      </c>
      <c r="K681" s="13">
        <f t="shared" ref="K681" si="3037">(F681-F629)/F629</f>
        <v>6.1391541609822645E-2</v>
      </c>
      <c r="L681" s="3">
        <f t="shared" ref="L681" si="3038">AVERAGE(F525,F577,F629)</f>
        <v>737.33333333333337</v>
      </c>
    </row>
    <row r="682" spans="1:12" ht="14.25" x14ac:dyDescent="0.2">
      <c r="A682" s="21">
        <f t="shared" si="2803"/>
        <v>43365</v>
      </c>
      <c r="B682" s="3">
        <v>354</v>
      </c>
      <c r="C682" s="3">
        <v>14</v>
      </c>
      <c r="D682" s="3">
        <v>65</v>
      </c>
      <c r="E682" s="3">
        <f t="shared" ref="E682" si="3039">SUM(B682:D682)</f>
        <v>433</v>
      </c>
      <c r="F682" s="52">
        <v>746</v>
      </c>
      <c r="G682" s="3">
        <f t="shared" ref="G682" si="3040">F682-E682</f>
        <v>313</v>
      </c>
      <c r="H682" s="49">
        <f t="shared" ref="H682" si="3041">(F682-F681)/F681</f>
        <v>-4.1131105398457581E-2</v>
      </c>
      <c r="I682" s="58">
        <f t="shared" ref="I682" si="3042">(E682-E681)/E681</f>
        <v>0.21288515406162464</v>
      </c>
      <c r="J682" s="30">
        <f t="shared" ref="J682" si="3043">E682-E681</f>
        <v>76</v>
      </c>
      <c r="K682" s="13">
        <f t="shared" ref="K682" si="3044">(F682-F630)/F630</f>
        <v>-1.0610079575596816E-2</v>
      </c>
      <c r="L682" s="3">
        <f t="shared" ref="L682" si="3045">AVERAGE(F526,F578,F630)</f>
        <v>748</v>
      </c>
    </row>
    <row r="683" spans="1:12" ht="14.25" x14ac:dyDescent="0.2">
      <c r="A683" s="21">
        <f t="shared" si="2803"/>
        <v>43372</v>
      </c>
      <c r="B683" s="3">
        <v>159</v>
      </c>
      <c r="C683" s="3">
        <v>11</v>
      </c>
      <c r="D683" s="3">
        <v>91</v>
      </c>
      <c r="E683" s="3">
        <f t="shared" ref="E683" si="3046">SUM(B683:D683)</f>
        <v>261</v>
      </c>
      <c r="F683" s="52">
        <v>758</v>
      </c>
      <c r="G683" s="3">
        <f t="shared" ref="G683" si="3047">F683-E683</f>
        <v>497</v>
      </c>
      <c r="H683" s="49">
        <f t="shared" ref="H683" si="3048">(F683-F682)/F682</f>
        <v>1.6085790884718499E-2</v>
      </c>
      <c r="I683" s="58">
        <f t="shared" ref="I683" si="3049">(E683-E682)/E682</f>
        <v>-0.39722863741339492</v>
      </c>
      <c r="J683" s="30">
        <f t="shared" ref="J683" si="3050">E683-E682</f>
        <v>-172</v>
      </c>
      <c r="K683" s="13">
        <f t="shared" ref="K683" si="3051">(F683-F631)/F631</f>
        <v>4.9861495844875349E-2</v>
      </c>
      <c r="L683" s="3">
        <f t="shared" ref="L683" si="3052">AVERAGE(F527,F579,F631)</f>
        <v>749.33333333333337</v>
      </c>
    </row>
    <row r="684" spans="1:12" ht="14.25" x14ac:dyDescent="0.2">
      <c r="A684" s="21">
        <f t="shared" si="2803"/>
        <v>43379</v>
      </c>
      <c r="B684" s="3">
        <v>230</v>
      </c>
      <c r="C684" s="3">
        <v>28</v>
      </c>
      <c r="D684" s="3">
        <v>82</v>
      </c>
      <c r="E684" s="3">
        <f t="shared" ref="E684" si="3053">SUM(B684:D684)</f>
        <v>340</v>
      </c>
      <c r="F684" s="52">
        <v>800</v>
      </c>
      <c r="G684" s="3">
        <f t="shared" ref="G684" si="3054">F684-E684</f>
        <v>460</v>
      </c>
      <c r="H684" s="49">
        <f t="shared" ref="H684" si="3055">(F684-F683)/F683</f>
        <v>5.5408970976253295E-2</v>
      </c>
      <c r="I684" s="58">
        <f t="shared" ref="I684" si="3056">(E684-E683)/E683</f>
        <v>0.30268199233716475</v>
      </c>
      <c r="J684" s="30">
        <f t="shared" ref="J684" si="3057">E684-E683</f>
        <v>79</v>
      </c>
      <c r="K684" s="13">
        <f t="shared" ref="K684" si="3058">(F684-F632)/F632</f>
        <v>0.19225037257824143</v>
      </c>
      <c r="L684" s="3">
        <f t="shared" ref="L684" si="3059">AVERAGE(F528,F580,F632)</f>
        <v>773.33333333333337</v>
      </c>
    </row>
    <row r="685" spans="1:12" ht="14.25" x14ac:dyDescent="0.2">
      <c r="A685" s="21">
        <f t="shared" si="2803"/>
        <v>43386</v>
      </c>
      <c r="B685" s="3">
        <v>247</v>
      </c>
      <c r="C685" s="3">
        <v>35</v>
      </c>
      <c r="D685" s="3">
        <v>49</v>
      </c>
      <c r="E685" s="3">
        <f t="shared" ref="E685" si="3060">SUM(B685:D685)</f>
        <v>331</v>
      </c>
      <c r="F685" s="52">
        <v>896</v>
      </c>
      <c r="G685" s="3">
        <f t="shared" ref="G685" si="3061">F685-E685</f>
        <v>565</v>
      </c>
      <c r="H685" s="49">
        <f t="shared" ref="H685" si="3062">(F685-F684)/F684</f>
        <v>0.12</v>
      </c>
      <c r="I685" s="58">
        <f t="shared" ref="I685" si="3063">(E685-E684)/E684</f>
        <v>-2.6470588235294117E-2</v>
      </c>
      <c r="J685" s="30">
        <f t="shared" ref="J685" si="3064">E685-E684</f>
        <v>-9</v>
      </c>
      <c r="K685" s="13">
        <f t="shared" ref="K685" si="3065">(F685-F633)/F633</f>
        <v>0.25666199158485276</v>
      </c>
      <c r="L685" s="3">
        <f t="shared" ref="L685" si="3066">AVERAGE(F529,F581,F633)</f>
        <v>846</v>
      </c>
    </row>
    <row r="686" spans="1:12" ht="14.25" x14ac:dyDescent="0.2">
      <c r="A686" s="21">
        <f t="shared" si="2803"/>
        <v>43393</v>
      </c>
      <c r="B686" s="3">
        <v>61</v>
      </c>
      <c r="C686" s="3">
        <v>20</v>
      </c>
      <c r="D686" s="3">
        <v>75</v>
      </c>
      <c r="E686" s="3">
        <f t="shared" ref="E686" si="3067">SUM(B686:D686)</f>
        <v>156</v>
      </c>
      <c r="F686" s="52">
        <v>832</v>
      </c>
      <c r="G686" s="3">
        <f t="shared" ref="G686" si="3068">F686-E686</f>
        <v>676</v>
      </c>
      <c r="H686" s="49">
        <f t="shared" ref="H686" si="3069">(F686-F685)/F685</f>
        <v>-7.1428571428571425E-2</v>
      </c>
      <c r="I686" s="58">
        <f t="shared" ref="I686" si="3070">(E686-E685)/E685</f>
        <v>-0.52870090634441091</v>
      </c>
      <c r="J686" s="30">
        <f t="shared" ref="J686" si="3071">E686-E685</f>
        <v>-175</v>
      </c>
      <c r="K686" s="13">
        <f t="shared" ref="K686" si="3072">(F686-F634)/F634</f>
        <v>-0.18590998043052837</v>
      </c>
      <c r="L686" s="3">
        <f t="shared" ref="L686" si="3073">AVERAGE(F530,F582,F634)</f>
        <v>964.33333333333337</v>
      </c>
    </row>
    <row r="687" spans="1:12" ht="14.25" x14ac:dyDescent="0.2">
      <c r="A687" s="21">
        <f t="shared" si="2803"/>
        <v>43400</v>
      </c>
      <c r="B687" s="3">
        <v>106</v>
      </c>
      <c r="C687" s="3">
        <v>15</v>
      </c>
      <c r="D687" s="3">
        <v>121</v>
      </c>
      <c r="E687" s="3">
        <f t="shared" ref="E687" si="3074">SUM(B687:D687)</f>
        <v>242</v>
      </c>
      <c r="F687" s="52">
        <v>683</v>
      </c>
      <c r="G687" s="3">
        <f t="shared" ref="G687" si="3075">F687-E687</f>
        <v>441</v>
      </c>
      <c r="H687" s="49">
        <f t="shared" ref="H687" si="3076">(F687-F686)/F686</f>
        <v>-0.17908653846153846</v>
      </c>
      <c r="I687" s="58">
        <f t="shared" ref="I687" si="3077">(E687-E686)/E686</f>
        <v>0.55128205128205132</v>
      </c>
      <c r="J687" s="30">
        <f t="shared" ref="J687" si="3078">E687-E686</f>
        <v>86</v>
      </c>
      <c r="K687" s="13">
        <f t="shared" ref="K687" si="3079">(F687-F635)/F635</f>
        <v>-0.21942857142857142</v>
      </c>
      <c r="L687" s="3">
        <f t="shared" ref="L687" si="3080">AVERAGE(F531,F583,F635)</f>
        <v>855.66666666666663</v>
      </c>
    </row>
    <row r="688" spans="1:12" ht="14.25" x14ac:dyDescent="0.2">
      <c r="A688" s="21">
        <f t="shared" si="2803"/>
        <v>43407</v>
      </c>
      <c r="B688" s="3">
        <v>411</v>
      </c>
      <c r="C688" s="3">
        <v>22</v>
      </c>
      <c r="D688" s="3">
        <v>107</v>
      </c>
      <c r="E688" s="3">
        <f t="shared" ref="E688" si="3081">SUM(B688:D688)</f>
        <v>540</v>
      </c>
      <c r="F688" s="52">
        <v>878</v>
      </c>
      <c r="G688" s="3">
        <f t="shared" ref="G688" si="3082">F688-E688</f>
        <v>338</v>
      </c>
      <c r="H688" s="49">
        <f t="shared" ref="H688" si="3083">(F688-F687)/F687</f>
        <v>0.28550512445095166</v>
      </c>
      <c r="I688" s="58">
        <f t="shared" ref="I688" si="3084">(E688-E687)/E687</f>
        <v>1.2314049586776858</v>
      </c>
      <c r="J688" s="30">
        <f t="shared" ref="J688" si="3085">E688-E687</f>
        <v>298</v>
      </c>
      <c r="K688" s="13">
        <f t="shared" ref="K688" si="3086">(F688-F636)/F636</f>
        <v>-0.16856060606060605</v>
      </c>
      <c r="L688" s="3">
        <f t="shared" ref="L688" si="3087">AVERAGE(F532,F584,F636)</f>
        <v>958</v>
      </c>
    </row>
    <row r="689" spans="1:12" ht="14.25" x14ac:dyDescent="0.2">
      <c r="A689" s="21">
        <f t="shared" si="2803"/>
        <v>43414</v>
      </c>
      <c r="B689" s="3">
        <v>471</v>
      </c>
      <c r="C689" s="3">
        <v>33</v>
      </c>
      <c r="D689" s="3">
        <v>118</v>
      </c>
      <c r="E689" s="3">
        <f t="shared" ref="E689" si="3088">SUM(B689:D689)</f>
        <v>622</v>
      </c>
      <c r="F689" s="52">
        <v>766</v>
      </c>
      <c r="G689" s="3">
        <f t="shared" ref="G689" si="3089">F689-E689</f>
        <v>144</v>
      </c>
      <c r="H689" s="49">
        <f t="shared" ref="H689" si="3090">(F689-F688)/F688</f>
        <v>-0.12756264236902051</v>
      </c>
      <c r="I689" s="58">
        <f t="shared" ref="I689" si="3091">(E689-E688)/E688</f>
        <v>0.15185185185185185</v>
      </c>
      <c r="J689" s="30">
        <f t="shared" ref="J689" si="3092">E689-E688</f>
        <v>82</v>
      </c>
      <c r="K689" s="13">
        <f t="shared" ref="K689" si="3093">(F689-F637)/F637</f>
        <v>-0.25703200775945684</v>
      </c>
      <c r="L689" s="3">
        <f t="shared" ref="L689" si="3094">AVERAGE(F533,F585,F637)</f>
        <v>1005.3333333333334</v>
      </c>
    </row>
    <row r="690" spans="1:12" ht="14.25" x14ac:dyDescent="0.2">
      <c r="A690" s="21">
        <f t="shared" si="2803"/>
        <v>43421</v>
      </c>
      <c r="B690" s="3">
        <v>443</v>
      </c>
      <c r="C690" s="3">
        <v>21</v>
      </c>
      <c r="D690" s="3">
        <v>11</v>
      </c>
      <c r="E690" s="3">
        <f t="shared" ref="E690" si="3095">SUM(B690:D690)</f>
        <v>475</v>
      </c>
      <c r="F690" s="52">
        <v>795</v>
      </c>
      <c r="G690" s="3">
        <f t="shared" ref="G690" si="3096">F690-E690</f>
        <v>320</v>
      </c>
      <c r="H690" s="49">
        <f t="shared" ref="H690" si="3097">(F690-F689)/F689</f>
        <v>3.7859007832898174E-2</v>
      </c>
      <c r="I690" s="58">
        <f t="shared" ref="I690" si="3098">(E690-E689)/E689</f>
        <v>-0.23633440514469453</v>
      </c>
      <c r="J690" s="30">
        <f t="shared" ref="J690" si="3099">E690-E689</f>
        <v>-147</v>
      </c>
      <c r="K690" s="13">
        <f t="shared" ref="K690" si="3100">(F690-F638)/F638</f>
        <v>-0.23039690222652467</v>
      </c>
      <c r="L690" s="3">
        <f t="shared" ref="L690" si="3101">AVERAGE(F534,F586,F638)</f>
        <v>1037</v>
      </c>
    </row>
    <row r="691" spans="1:12" ht="14.25" x14ac:dyDescent="0.2">
      <c r="A691" s="21">
        <f t="shared" si="2803"/>
        <v>43428</v>
      </c>
      <c r="B691" s="3">
        <v>421</v>
      </c>
      <c r="C691" s="3">
        <v>35</v>
      </c>
      <c r="D691" s="3">
        <v>120</v>
      </c>
      <c r="E691" s="3">
        <f t="shared" ref="E691" si="3102">SUM(B691:D691)</f>
        <v>576</v>
      </c>
      <c r="F691" s="52">
        <v>864</v>
      </c>
      <c r="G691" s="3">
        <f t="shared" ref="G691" si="3103">F691-E691</f>
        <v>288</v>
      </c>
      <c r="H691" s="49">
        <f t="shared" ref="H691" si="3104">(F691-F690)/F690</f>
        <v>8.6792452830188674E-2</v>
      </c>
      <c r="I691" s="58">
        <f t="shared" ref="I691" si="3105">(E691-E690)/E690</f>
        <v>0.21263157894736842</v>
      </c>
      <c r="J691" s="30">
        <f t="shared" ref="J691" si="3106">E691-E690</f>
        <v>101</v>
      </c>
      <c r="K691" s="13">
        <f t="shared" ref="K691" si="3107">(F691-F639)/F639</f>
        <v>-6.8965517241379309E-3</v>
      </c>
      <c r="L691" s="3">
        <f t="shared" ref="L691" si="3108">AVERAGE(F535,F587,F639)</f>
        <v>986.33333333333337</v>
      </c>
    </row>
    <row r="692" spans="1:12" ht="14.25" x14ac:dyDescent="0.2">
      <c r="A692" s="21">
        <f t="shared" si="2803"/>
        <v>43435</v>
      </c>
      <c r="B692" s="3">
        <v>341</v>
      </c>
      <c r="C692" s="3">
        <v>28</v>
      </c>
      <c r="D692" s="3">
        <v>60</v>
      </c>
      <c r="E692" s="3">
        <f t="shared" ref="E692" si="3109">SUM(B692:D692)</f>
        <v>429</v>
      </c>
      <c r="F692" s="52">
        <v>903</v>
      </c>
      <c r="G692" s="3">
        <f t="shared" ref="G692" si="3110">F692-E692</f>
        <v>474</v>
      </c>
      <c r="H692" s="49">
        <f t="shared" ref="H692" si="3111">(F692-F691)/F691</f>
        <v>4.5138888888888888E-2</v>
      </c>
      <c r="I692" s="58">
        <f t="shared" ref="I692" si="3112">(E692-E691)/E691</f>
        <v>-0.25520833333333331</v>
      </c>
      <c r="J692" s="30">
        <f t="shared" ref="J692" si="3113">E692-E691</f>
        <v>-147</v>
      </c>
      <c r="K692" s="13">
        <f t="shared" ref="K692" si="3114">(F692-F640)/F640</f>
        <v>4.6349942062572425E-2</v>
      </c>
      <c r="L692" s="3">
        <f t="shared" ref="L692" si="3115">AVERAGE(F536,F588,F640)</f>
        <v>911.33333333333337</v>
      </c>
    </row>
    <row r="693" spans="1:12" ht="14.25" x14ac:dyDescent="0.2">
      <c r="A693" s="21">
        <f t="shared" si="2803"/>
        <v>43442</v>
      </c>
      <c r="B693" s="3">
        <v>371</v>
      </c>
      <c r="C693" s="3">
        <v>38</v>
      </c>
      <c r="D693" s="3">
        <v>94</v>
      </c>
      <c r="E693" s="3">
        <f t="shared" ref="E693" si="3116">SUM(B693:D693)</f>
        <v>503</v>
      </c>
      <c r="F693" s="52">
        <v>790</v>
      </c>
      <c r="G693" s="3">
        <f t="shared" ref="G693" si="3117">F693-E693</f>
        <v>287</v>
      </c>
      <c r="H693" s="49">
        <f t="shared" ref="H693" si="3118">(F693-F692)/F692</f>
        <v>-0.12513842746400886</v>
      </c>
      <c r="I693" s="58">
        <f t="shared" ref="I693" si="3119">(E693-E692)/E692</f>
        <v>0.17249417249417248</v>
      </c>
      <c r="J693" s="30">
        <f t="shared" ref="J693:J700" si="3120">E693-E692</f>
        <v>74</v>
      </c>
      <c r="K693" s="13">
        <f t="shared" ref="K693" si="3121">(F693-F641)/F641</f>
        <v>0.16863905325443787</v>
      </c>
      <c r="L693" s="3">
        <f t="shared" ref="L693" si="3122">AVERAGE(F537,F589,F641)</f>
        <v>852</v>
      </c>
    </row>
    <row r="694" spans="1:12" ht="14.25" x14ac:dyDescent="0.2">
      <c r="A694" s="21">
        <f t="shared" si="2803"/>
        <v>43449</v>
      </c>
      <c r="B694" s="3">
        <v>357</v>
      </c>
      <c r="C694" s="3">
        <v>42</v>
      </c>
      <c r="D694" s="3">
        <v>151</v>
      </c>
      <c r="E694" s="3">
        <f t="shared" ref="E694" si="3123">SUM(B694:D694)</f>
        <v>550</v>
      </c>
      <c r="F694" s="52">
        <v>816</v>
      </c>
      <c r="G694" s="3">
        <f t="shared" ref="G694" si="3124">F694-E694</f>
        <v>266</v>
      </c>
      <c r="H694" s="49">
        <f t="shared" ref="H694" si="3125">(F694-F693)/F693</f>
        <v>3.2911392405063293E-2</v>
      </c>
      <c r="I694" s="58">
        <f t="shared" ref="I694" si="3126">(E694-E693)/E693</f>
        <v>9.3439363817097415E-2</v>
      </c>
      <c r="J694" s="30">
        <f t="shared" si="3120"/>
        <v>47</v>
      </c>
      <c r="K694" s="13">
        <f t="shared" ref="K694" si="3127">(F694-F642)/F642</f>
        <v>-0.11496746203904555</v>
      </c>
      <c r="L694" s="3">
        <f t="shared" ref="L694" si="3128">AVERAGE(F538,F590,F642)</f>
        <v>922</v>
      </c>
    </row>
    <row r="695" spans="1:12" ht="14.25" x14ac:dyDescent="0.2">
      <c r="A695" s="21">
        <f t="shared" si="2803"/>
        <v>43456</v>
      </c>
      <c r="B695" s="3">
        <v>307</v>
      </c>
      <c r="C695" s="3">
        <v>15</v>
      </c>
      <c r="D695" s="3">
        <v>132</v>
      </c>
      <c r="E695" s="3">
        <f t="shared" ref="E695" si="3129">SUM(B695:D695)</f>
        <v>454</v>
      </c>
      <c r="F695" s="52">
        <v>796</v>
      </c>
      <c r="G695" s="3">
        <f t="shared" ref="G695" si="3130">F695-E695</f>
        <v>342</v>
      </c>
      <c r="H695" s="49">
        <f t="shared" ref="H695" si="3131">(F695-F694)/F694</f>
        <v>-2.4509803921568627E-2</v>
      </c>
      <c r="I695" s="58">
        <f t="shared" ref="I695" si="3132">(E695-E694)/E694</f>
        <v>-0.17454545454545456</v>
      </c>
      <c r="J695" s="30">
        <f t="shared" si="3120"/>
        <v>-96</v>
      </c>
      <c r="K695" s="13">
        <f t="shared" ref="K695" si="3133">(F695-F643)/F643</f>
        <v>9.3406593406593408E-2</v>
      </c>
      <c r="L695" s="3">
        <f t="shared" ref="L695" si="3134">AVERAGE(F539,F591,F643)</f>
        <v>759.33333333333337</v>
      </c>
    </row>
    <row r="696" spans="1:12" ht="14.25" x14ac:dyDescent="0.2">
      <c r="A696" s="21">
        <f t="shared" si="2803"/>
        <v>43463</v>
      </c>
      <c r="B696" s="3">
        <v>233</v>
      </c>
      <c r="C696" s="3">
        <v>37</v>
      </c>
      <c r="D696" s="3">
        <v>114</v>
      </c>
      <c r="E696" s="3">
        <f t="shared" ref="E696" si="3135">SUM(B696:D696)</f>
        <v>384</v>
      </c>
      <c r="F696" s="52">
        <v>659</v>
      </c>
      <c r="G696" s="3">
        <f t="shared" ref="G696" si="3136">F696-E696</f>
        <v>275</v>
      </c>
      <c r="H696" s="49">
        <f t="shared" ref="H696" si="3137">(F696-F695)/F695</f>
        <v>-0.17211055276381909</v>
      </c>
      <c r="I696" s="58">
        <f t="shared" ref="I696" si="3138">(E696-E695)/E695</f>
        <v>-0.15418502202643172</v>
      </c>
      <c r="J696" s="30">
        <f t="shared" si="3120"/>
        <v>-70</v>
      </c>
      <c r="K696" s="13">
        <f t="shared" ref="K696" si="3139">(F696-F644)/F644</f>
        <v>-0.26368715083798883</v>
      </c>
      <c r="L696" s="3">
        <f t="shared" ref="L696" si="3140">AVERAGE(F540,F592,F644)</f>
        <v>841.66666666666663</v>
      </c>
    </row>
    <row r="697" spans="1:12" ht="14.25" x14ac:dyDescent="0.2">
      <c r="A697" s="21">
        <f t="shared" si="2803"/>
        <v>43470</v>
      </c>
      <c r="B697" s="3">
        <v>149</v>
      </c>
      <c r="C697" s="3">
        <v>21</v>
      </c>
      <c r="D697" s="3">
        <v>76</v>
      </c>
      <c r="E697" s="3">
        <f t="shared" ref="E697" si="3141">SUM(B697:D697)</f>
        <v>246</v>
      </c>
      <c r="F697" s="52">
        <v>594</v>
      </c>
      <c r="G697" s="3">
        <f t="shared" ref="G697" si="3142">F697-E697</f>
        <v>348</v>
      </c>
      <c r="H697" s="49">
        <f t="shared" ref="H697" si="3143">(F697-F696)/F696</f>
        <v>-9.8634294385432475E-2</v>
      </c>
      <c r="I697" s="58">
        <f t="shared" ref="I697" si="3144">(E697-E696)/E696</f>
        <v>-0.359375</v>
      </c>
      <c r="J697" s="30">
        <f t="shared" si="3120"/>
        <v>-138</v>
      </c>
      <c r="K697" s="13">
        <f t="shared" ref="K697" si="3145">(F697-F645)/F645</f>
        <v>-0.27205882352941174</v>
      </c>
      <c r="L697" s="3">
        <f t="shared" ref="L697" si="3146">AVERAGE(F541,F593,F645)</f>
        <v>763.66666666666663</v>
      </c>
    </row>
    <row r="698" spans="1:12" ht="14.25" x14ac:dyDescent="0.2">
      <c r="A698" s="21">
        <f t="shared" si="2803"/>
        <v>43477</v>
      </c>
      <c r="B698" s="3">
        <v>198</v>
      </c>
      <c r="C698" s="3">
        <v>23</v>
      </c>
      <c r="D698" s="3">
        <v>125</v>
      </c>
      <c r="E698" s="3">
        <f t="shared" ref="E698" si="3147">SUM(B698:D698)</f>
        <v>346</v>
      </c>
      <c r="F698" s="52">
        <v>794</v>
      </c>
      <c r="G698" s="3">
        <f>F698-E698</f>
        <v>448</v>
      </c>
      <c r="H698" s="49">
        <f t="shared" ref="H698" si="3148">(F698-F697)/F697</f>
        <v>0.33670033670033672</v>
      </c>
      <c r="I698" s="58">
        <f t="shared" ref="I698" si="3149">(E698-E697)/E697</f>
        <v>0.4065040650406504</v>
      </c>
      <c r="J698" s="30">
        <f t="shared" si="3120"/>
        <v>100</v>
      </c>
      <c r="K698" s="13">
        <f t="shared" ref="K698" si="3150">(F698-F646)/F646</f>
        <v>6.2918340026773767E-2</v>
      </c>
      <c r="L698" s="3">
        <f t="shared" ref="L698" si="3151">AVERAGE(F542,F594,F646)</f>
        <v>749</v>
      </c>
    </row>
    <row r="699" spans="1:12" ht="14.25" x14ac:dyDescent="0.2">
      <c r="A699" s="21">
        <f t="shared" si="2803"/>
        <v>43484</v>
      </c>
      <c r="B699" s="3">
        <v>155</v>
      </c>
      <c r="C699" s="3">
        <v>17</v>
      </c>
      <c r="D699" s="3">
        <v>180</v>
      </c>
      <c r="E699" s="3">
        <f t="shared" ref="E699" si="3152">SUM(B699:D699)</f>
        <v>352</v>
      </c>
      <c r="F699" s="52">
        <v>701</v>
      </c>
      <c r="G699" s="3">
        <f t="shared" ref="G699" si="3153">F699-E699</f>
        <v>349</v>
      </c>
      <c r="H699" s="49">
        <f t="shared" ref="H699:H704" si="3154">(F699-F698)/F698</f>
        <v>-0.11712846347607053</v>
      </c>
      <c r="I699" s="58">
        <f t="shared" ref="I699" si="3155">(E699-E698)/E698</f>
        <v>1.7341040462427744E-2</v>
      </c>
      <c r="J699" s="30">
        <f t="shared" si="3120"/>
        <v>6</v>
      </c>
      <c r="K699" s="13">
        <f t="shared" ref="K699" si="3156">(F699-F647)/F647</f>
        <v>0.24290780141843971</v>
      </c>
      <c r="L699" s="3">
        <f t="shared" ref="L699" si="3157">AVERAGE(F543,F595,F647)</f>
        <v>684</v>
      </c>
    </row>
    <row r="700" spans="1:12" ht="14.25" x14ac:dyDescent="0.2">
      <c r="A700" s="21">
        <f t="shared" si="2803"/>
        <v>43491</v>
      </c>
      <c r="B700" s="3">
        <v>72</v>
      </c>
      <c r="C700" s="3">
        <v>11</v>
      </c>
      <c r="D700" s="3">
        <v>188</v>
      </c>
      <c r="E700" s="3">
        <f t="shared" ref="E700" si="3158">SUM(B700:D700)</f>
        <v>271</v>
      </c>
      <c r="F700" s="52">
        <v>821</v>
      </c>
      <c r="G700" s="3">
        <f t="shared" ref="G700" si="3159">F700-E700</f>
        <v>550</v>
      </c>
      <c r="H700" s="49">
        <f t="shared" si="3154"/>
        <v>0.17118402282453637</v>
      </c>
      <c r="I700" s="58">
        <f t="shared" ref="I700" si="3160">(E700-E699)/E699</f>
        <v>-0.23011363636363635</v>
      </c>
      <c r="J700" s="30">
        <f t="shared" si="3120"/>
        <v>-81</v>
      </c>
      <c r="K700" s="13">
        <f t="shared" ref="K700" si="3161">(F700-F648)/F648</f>
        <v>5.2564102564102565E-2</v>
      </c>
      <c r="L700" s="3">
        <f t="shared" ref="L700" si="3162">AVERAGE(F544,F596,F648)</f>
        <v>773</v>
      </c>
    </row>
    <row r="701" spans="1:12" ht="14.25" x14ac:dyDescent="0.2">
      <c r="A701" s="21">
        <f t="shared" si="2803"/>
        <v>43498</v>
      </c>
      <c r="B701" s="3">
        <v>87</v>
      </c>
      <c r="C701" s="3">
        <v>48</v>
      </c>
      <c r="D701" s="3">
        <v>85</v>
      </c>
      <c r="E701" s="3">
        <f t="shared" ref="E701" si="3163">SUM(B701:D701)</f>
        <v>220</v>
      </c>
      <c r="F701" s="52">
        <v>865</v>
      </c>
      <c r="G701" s="3">
        <f t="shared" ref="G701" si="3164">F701-E701</f>
        <v>645</v>
      </c>
      <c r="H701" s="49">
        <f t="shared" si="3154"/>
        <v>5.3593179049939099E-2</v>
      </c>
      <c r="I701" s="58">
        <f t="shared" ref="I701" si="3165">(E701-E700)/E700</f>
        <v>-0.18819188191881919</v>
      </c>
      <c r="J701" s="30">
        <f t="shared" ref="J701" si="3166">E701-E700</f>
        <v>-51</v>
      </c>
      <c r="K701" s="13">
        <f t="shared" ref="K701" si="3167">(F701-F649)/F649</f>
        <v>-5.3610503282275714E-2</v>
      </c>
      <c r="L701" s="3">
        <f t="shared" ref="L701" si="3168">AVERAGE(F545,F597,F649)</f>
        <v>852</v>
      </c>
    </row>
    <row r="702" spans="1:12" ht="14.25" x14ac:dyDescent="0.2">
      <c r="A702" s="21">
        <f t="shared" si="2803"/>
        <v>43505</v>
      </c>
      <c r="B702" s="3">
        <v>63</v>
      </c>
      <c r="C702" s="3">
        <v>46</v>
      </c>
      <c r="D702" s="3">
        <v>144</v>
      </c>
      <c r="E702" s="3">
        <f t="shared" ref="E702" si="3169">SUM(B702:D702)</f>
        <v>253</v>
      </c>
      <c r="F702" s="52">
        <v>617</v>
      </c>
      <c r="G702" s="3">
        <f t="shared" ref="G702" si="3170">F702-E702</f>
        <v>364</v>
      </c>
      <c r="H702" s="49">
        <f t="shared" si="3154"/>
        <v>-0.28670520231213875</v>
      </c>
      <c r="I702" s="58">
        <f t="shared" ref="I702" si="3171">(E702-E701)/E701</f>
        <v>0.15</v>
      </c>
      <c r="J702" s="30">
        <f t="shared" ref="J702" si="3172">E702-E701</f>
        <v>33</v>
      </c>
      <c r="K702" s="13">
        <f t="shared" ref="K702" si="3173">(F702-F650)/F650</f>
        <v>-0.17733333333333334</v>
      </c>
      <c r="L702" s="3">
        <f t="shared" ref="L702" si="3174">AVERAGE(F546,F598,F650)</f>
        <v>844.33333333333337</v>
      </c>
    </row>
    <row r="703" spans="1:12" ht="14.25" x14ac:dyDescent="0.2">
      <c r="A703" s="21">
        <f t="shared" si="2803"/>
        <v>43512</v>
      </c>
      <c r="B703" s="3">
        <v>75</v>
      </c>
      <c r="C703" s="3">
        <v>9</v>
      </c>
      <c r="D703" s="3">
        <v>135</v>
      </c>
      <c r="E703" s="3">
        <f t="shared" ref="E703" si="3175">SUM(B703:D703)</f>
        <v>219</v>
      </c>
      <c r="F703" s="52">
        <v>744</v>
      </c>
      <c r="G703" s="3">
        <f t="shared" ref="G703" si="3176">F703-E703</f>
        <v>525</v>
      </c>
      <c r="H703" s="49">
        <f t="shared" si="3154"/>
        <v>0.20583468395461912</v>
      </c>
      <c r="I703" s="58">
        <f t="shared" ref="I703" si="3177">(E703-E702)/E702</f>
        <v>-0.13438735177865613</v>
      </c>
      <c r="J703" s="30">
        <f t="shared" ref="J703" si="3178">E703-E702</f>
        <v>-34</v>
      </c>
      <c r="K703" s="13">
        <f t="shared" ref="K703" si="3179">(F703-F651)/F651</f>
        <v>0.3651376146788991</v>
      </c>
      <c r="L703" s="3">
        <f t="shared" ref="L703" si="3180">AVERAGE(F547,F599,F651)</f>
        <v>762.66666666666663</v>
      </c>
    </row>
    <row r="704" spans="1:12" ht="14.25" x14ac:dyDescent="0.2">
      <c r="A704" s="21">
        <f t="shared" si="2803"/>
        <v>43519</v>
      </c>
      <c r="B704" s="3">
        <v>124</v>
      </c>
      <c r="C704" s="3">
        <v>56</v>
      </c>
      <c r="D704" s="3">
        <v>64</v>
      </c>
      <c r="E704" s="3">
        <f t="shared" ref="E704" si="3181">SUM(B704:D704)</f>
        <v>244</v>
      </c>
      <c r="F704" s="52">
        <v>633</v>
      </c>
      <c r="G704" s="3">
        <f t="shared" ref="G704" si="3182">F704-E704</f>
        <v>389</v>
      </c>
      <c r="H704" s="49">
        <f t="shared" si="3154"/>
        <v>-0.14919354838709678</v>
      </c>
      <c r="I704" s="58">
        <f t="shared" ref="I704" si="3183">(E704-E703)/E703</f>
        <v>0.11415525114155251</v>
      </c>
      <c r="J704" s="30">
        <f t="shared" ref="J704" si="3184">E704-E703</f>
        <v>25</v>
      </c>
      <c r="K704" s="13">
        <f t="shared" ref="K704" si="3185">(F704-F652)/F652</f>
        <v>-0.20874999999999999</v>
      </c>
      <c r="L704" s="3">
        <f t="shared" ref="L704" si="3186">AVERAGE(F548,F600,F652)</f>
        <v>783</v>
      </c>
    </row>
    <row r="705" spans="1:12" ht="14.25" x14ac:dyDescent="0.2">
      <c r="A705" s="21">
        <f t="shared" si="2803"/>
        <v>43526</v>
      </c>
      <c r="B705" s="3">
        <v>126</v>
      </c>
      <c r="C705" s="3">
        <v>35</v>
      </c>
      <c r="D705" s="3">
        <v>0</v>
      </c>
      <c r="E705" s="3">
        <f t="shared" ref="E705:E710" si="3187">SUM(B705:D705)</f>
        <v>161</v>
      </c>
      <c r="F705" s="52">
        <v>513</v>
      </c>
      <c r="G705" s="3">
        <f t="shared" ref="G705:G710" si="3188">F705-E705</f>
        <v>352</v>
      </c>
      <c r="H705" s="49">
        <f t="shared" ref="H705:H710" si="3189">(F705-F704)/F704</f>
        <v>-0.1895734597156398</v>
      </c>
      <c r="I705" s="58">
        <f t="shared" ref="I705:I710" si="3190">(E705-E704)/E704</f>
        <v>-0.3401639344262295</v>
      </c>
      <c r="J705" s="30">
        <f t="shared" ref="J705:J710" si="3191">E705-E704</f>
        <v>-83</v>
      </c>
      <c r="K705" s="13">
        <f t="shared" ref="K705:K710" si="3192">(F705-F653)/F653</f>
        <v>-0.31691078561917441</v>
      </c>
      <c r="L705" s="3">
        <f t="shared" ref="L705:L710" si="3193">AVERAGE(F549,F601,F653)</f>
        <v>789.66666666666663</v>
      </c>
    </row>
    <row r="706" spans="1:12" ht="14.25" x14ac:dyDescent="0.2">
      <c r="A706" s="21">
        <f t="shared" ref="A706:A746" si="3194">7+A705</f>
        <v>43533</v>
      </c>
      <c r="B706" s="3">
        <v>190</v>
      </c>
      <c r="C706" s="3">
        <v>58</v>
      </c>
      <c r="D706" s="3">
        <v>0</v>
      </c>
      <c r="E706" s="3">
        <f t="shared" si="3187"/>
        <v>248</v>
      </c>
      <c r="F706" s="52">
        <v>486</v>
      </c>
      <c r="G706" s="3">
        <f t="shared" si="3188"/>
        <v>238</v>
      </c>
      <c r="H706" s="49">
        <f t="shared" si="3189"/>
        <v>-5.2631578947368418E-2</v>
      </c>
      <c r="I706" s="58">
        <f t="shared" si="3190"/>
        <v>0.54037267080745344</v>
      </c>
      <c r="J706" s="30">
        <f t="shared" si="3191"/>
        <v>87</v>
      </c>
      <c r="K706" s="13">
        <f t="shared" si="3192"/>
        <v>-0.32593619972260751</v>
      </c>
      <c r="L706" s="3">
        <f t="shared" si="3193"/>
        <v>682.33333333333337</v>
      </c>
    </row>
    <row r="707" spans="1:12" ht="14.25" x14ac:dyDescent="0.2">
      <c r="A707" s="21">
        <f t="shared" si="3194"/>
        <v>43540</v>
      </c>
      <c r="B707" s="3">
        <v>138</v>
      </c>
      <c r="C707" s="3">
        <v>15</v>
      </c>
      <c r="D707" s="3">
        <v>236</v>
      </c>
      <c r="E707" s="3">
        <f t="shared" si="3187"/>
        <v>389</v>
      </c>
      <c r="F707" s="52">
        <v>466</v>
      </c>
      <c r="G707" s="3">
        <f t="shared" si="3188"/>
        <v>77</v>
      </c>
      <c r="H707" s="49">
        <f t="shared" si="3189"/>
        <v>-4.1152263374485597E-2</v>
      </c>
      <c r="I707" s="58">
        <f t="shared" si="3190"/>
        <v>0.56854838709677424</v>
      </c>
      <c r="J707" s="30">
        <f t="shared" si="3191"/>
        <v>141</v>
      </c>
      <c r="K707" s="13">
        <f t="shared" si="3192"/>
        <v>-0.18101933216168717</v>
      </c>
      <c r="L707" s="3">
        <f t="shared" si="3193"/>
        <v>601.66666666666663</v>
      </c>
    </row>
    <row r="708" spans="1:12" ht="14.25" x14ac:dyDescent="0.2">
      <c r="A708" s="21">
        <f t="shared" si="3194"/>
        <v>43547</v>
      </c>
      <c r="B708" s="3">
        <v>161</v>
      </c>
      <c r="C708" s="3">
        <v>61</v>
      </c>
      <c r="D708" s="3">
        <v>206</v>
      </c>
      <c r="E708" s="3">
        <f t="shared" si="3187"/>
        <v>428</v>
      </c>
      <c r="F708" s="52">
        <v>644</v>
      </c>
      <c r="G708" s="3">
        <f t="shared" si="3188"/>
        <v>216</v>
      </c>
      <c r="H708" s="49">
        <f t="shared" si="3189"/>
        <v>0.38197424892703863</v>
      </c>
      <c r="I708" s="58">
        <f t="shared" si="3190"/>
        <v>0.10025706940874037</v>
      </c>
      <c r="J708" s="30">
        <f t="shared" si="3191"/>
        <v>39</v>
      </c>
      <c r="K708" s="13">
        <f t="shared" si="3192"/>
        <v>0.15</v>
      </c>
      <c r="L708" s="3">
        <f t="shared" si="3193"/>
        <v>612.66666666666663</v>
      </c>
    </row>
    <row r="709" spans="1:12" ht="14.25" x14ac:dyDescent="0.2">
      <c r="A709" s="21">
        <f t="shared" si="3194"/>
        <v>43554</v>
      </c>
      <c r="B709" s="3">
        <v>176</v>
      </c>
      <c r="C709" s="3">
        <v>27</v>
      </c>
      <c r="D709" s="3">
        <v>198</v>
      </c>
      <c r="E709" s="3">
        <f t="shared" si="3187"/>
        <v>401</v>
      </c>
      <c r="F709" s="52">
        <v>653</v>
      </c>
      <c r="G709" s="3">
        <f t="shared" si="3188"/>
        <v>252</v>
      </c>
      <c r="H709" s="49">
        <f t="shared" si="3189"/>
        <v>1.3975155279503106E-2</v>
      </c>
      <c r="I709" s="58">
        <f t="shared" si="3190"/>
        <v>-6.3084112149532703E-2</v>
      </c>
      <c r="J709" s="30">
        <f t="shared" si="3191"/>
        <v>-27</v>
      </c>
      <c r="K709" s="13">
        <f t="shared" si="3192"/>
        <v>7.0491803278688522E-2</v>
      </c>
      <c r="L709" s="3">
        <f t="shared" si="3193"/>
        <v>658.33333333333337</v>
      </c>
    </row>
    <row r="710" spans="1:12" ht="14.25" x14ac:dyDescent="0.2">
      <c r="A710" s="21">
        <f t="shared" si="3194"/>
        <v>43561</v>
      </c>
      <c r="B710" s="3">
        <v>159</v>
      </c>
      <c r="C710" s="3">
        <v>47</v>
      </c>
      <c r="D710" s="3">
        <v>124</v>
      </c>
      <c r="E710" s="3">
        <f t="shared" si="3187"/>
        <v>330</v>
      </c>
      <c r="F710" s="52">
        <v>469</v>
      </c>
      <c r="G710" s="3">
        <f t="shared" si="3188"/>
        <v>139</v>
      </c>
      <c r="H710" s="49">
        <f t="shared" si="3189"/>
        <v>-0.28177641653905056</v>
      </c>
      <c r="I710" s="58">
        <f t="shared" si="3190"/>
        <v>-0.17705735660847879</v>
      </c>
      <c r="J710" s="30">
        <f t="shared" si="3191"/>
        <v>-71</v>
      </c>
      <c r="K710" s="13">
        <f t="shared" si="3192"/>
        <v>-0.40782828282828282</v>
      </c>
      <c r="L710" s="3">
        <f t="shared" si="3193"/>
        <v>697</v>
      </c>
    </row>
    <row r="711" spans="1:12" ht="14.25" x14ac:dyDescent="0.2">
      <c r="A711" s="21">
        <f t="shared" si="3194"/>
        <v>43568</v>
      </c>
      <c r="B711" s="3">
        <v>94</v>
      </c>
      <c r="C711" s="3">
        <v>43</v>
      </c>
      <c r="D711" s="3">
        <v>128</v>
      </c>
      <c r="E711" s="3">
        <f t="shared" ref="E711" si="3195">SUM(B711:D711)</f>
        <v>265</v>
      </c>
      <c r="F711" s="52">
        <v>524</v>
      </c>
      <c r="G711" s="3">
        <f t="shared" ref="G711" si="3196">F711-E711</f>
        <v>259</v>
      </c>
      <c r="H711" s="49">
        <f t="shared" ref="H711" si="3197">(F711-F710)/F710</f>
        <v>0.11727078891257996</v>
      </c>
      <c r="I711" s="58">
        <f t="shared" ref="I711" si="3198">(E711-E710)/E710</f>
        <v>-0.19696969696969696</v>
      </c>
      <c r="J711" s="30">
        <f t="shared" ref="J711" si="3199">E711-E710</f>
        <v>-65</v>
      </c>
      <c r="K711" s="13">
        <f t="shared" ref="K711" si="3200">(F711-F659)/F659</f>
        <v>-0.29946524064171121</v>
      </c>
      <c r="L711" s="3">
        <f t="shared" ref="L711" si="3201">AVERAGE(F555,F607,F659)</f>
        <v>647.66666666666663</v>
      </c>
    </row>
    <row r="712" spans="1:12" ht="14.25" x14ac:dyDescent="0.2">
      <c r="A712" s="21">
        <f t="shared" si="3194"/>
        <v>43575</v>
      </c>
      <c r="B712" s="3">
        <v>146</v>
      </c>
      <c r="C712" s="3">
        <v>18</v>
      </c>
      <c r="D712" s="3">
        <v>123</v>
      </c>
      <c r="E712" s="3">
        <f t="shared" ref="E712" si="3202">SUM(B712:D712)</f>
        <v>287</v>
      </c>
      <c r="F712" s="52">
        <v>615</v>
      </c>
      <c r="G712" s="3">
        <f t="shared" ref="G712" si="3203">F712-E712</f>
        <v>328</v>
      </c>
      <c r="H712" s="49">
        <f t="shared" ref="H712" si="3204">(F712-F711)/F711</f>
        <v>0.17366412213740459</v>
      </c>
      <c r="I712" s="58">
        <f t="shared" ref="I712" si="3205">(E712-E711)/E711</f>
        <v>8.3018867924528297E-2</v>
      </c>
      <c r="J712" s="30">
        <f t="shared" ref="J712" si="3206">E712-E711</f>
        <v>22</v>
      </c>
      <c r="K712" s="13">
        <f t="shared" ref="K712" si="3207">(F712-F660)/F660</f>
        <v>-0.13135593220338984</v>
      </c>
      <c r="L712" s="3">
        <f t="shared" ref="L712" si="3208">AVERAGE(F556,F608,F660)</f>
        <v>671</v>
      </c>
    </row>
    <row r="713" spans="1:12" ht="14.25" x14ac:dyDescent="0.2">
      <c r="A713" s="21">
        <f t="shared" si="3194"/>
        <v>43582</v>
      </c>
      <c r="B713" s="3">
        <v>125</v>
      </c>
      <c r="C713" s="3">
        <v>36</v>
      </c>
      <c r="D713" s="3">
        <v>107</v>
      </c>
      <c r="E713" s="3">
        <f t="shared" ref="E713" si="3209">SUM(B713:D713)</f>
        <v>268</v>
      </c>
      <c r="F713" s="52">
        <v>595</v>
      </c>
      <c r="G713" s="3">
        <f t="shared" ref="G713" si="3210">F713-E713</f>
        <v>327</v>
      </c>
      <c r="H713" s="49">
        <f t="shared" ref="H713" si="3211">(F713-F712)/F712</f>
        <v>-3.2520325203252036E-2</v>
      </c>
      <c r="I713" s="58">
        <f t="shared" ref="I713" si="3212">(E713-E712)/E712</f>
        <v>-6.6202090592334492E-2</v>
      </c>
      <c r="J713" s="30">
        <f t="shared" ref="J713" si="3213">E713-E712</f>
        <v>-19</v>
      </c>
      <c r="K713" s="13">
        <f t="shared" ref="K713" si="3214">(F713-F661)/F661</f>
        <v>-9.298780487804878E-2</v>
      </c>
      <c r="L713" s="3">
        <f t="shared" ref="L713" si="3215">AVERAGE(F557,F609,F661)</f>
        <v>600.66666666666663</v>
      </c>
    </row>
    <row r="714" spans="1:12" ht="14.25" x14ac:dyDescent="0.2">
      <c r="A714" s="21">
        <f t="shared" si="3194"/>
        <v>43589</v>
      </c>
      <c r="B714" s="3">
        <v>177</v>
      </c>
      <c r="C714" s="3">
        <v>27</v>
      </c>
      <c r="D714" s="3">
        <v>103</v>
      </c>
      <c r="E714" s="3">
        <f t="shared" ref="E714" si="3216">SUM(B714:D714)</f>
        <v>307</v>
      </c>
      <c r="F714" s="52">
        <v>559</v>
      </c>
      <c r="G714" s="3">
        <f t="shared" ref="G714" si="3217">F714-E714</f>
        <v>252</v>
      </c>
      <c r="H714" s="49">
        <f t="shared" ref="H714" si="3218">(F714-F713)/F713</f>
        <v>-6.0504201680672269E-2</v>
      </c>
      <c r="I714" s="58">
        <f t="shared" ref="I714" si="3219">(E714-E713)/E713</f>
        <v>0.1455223880597015</v>
      </c>
      <c r="J714" s="30">
        <f t="shared" ref="J714" si="3220">E714-E713</f>
        <v>39</v>
      </c>
      <c r="K714" s="13">
        <f t="shared" ref="K714" si="3221">(F714-F662)/F662</f>
        <v>-0.18985507246376812</v>
      </c>
      <c r="L714" s="3">
        <f t="shared" ref="L714" si="3222">AVERAGE(F558,F610,F662)</f>
        <v>611.66666666666663</v>
      </c>
    </row>
    <row r="715" spans="1:12" ht="14.25" x14ac:dyDescent="0.2">
      <c r="A715" s="21">
        <f t="shared" si="3194"/>
        <v>43596</v>
      </c>
      <c r="B715" s="3">
        <v>0</v>
      </c>
      <c r="C715" s="3">
        <v>0</v>
      </c>
      <c r="D715" s="3">
        <v>200</v>
      </c>
      <c r="E715" s="3">
        <f t="shared" ref="E715" si="3223">SUM(B715:D715)</f>
        <v>200</v>
      </c>
      <c r="F715" s="52">
        <v>513</v>
      </c>
      <c r="G715" s="3">
        <f t="shared" ref="G715" si="3224">F715-E715</f>
        <v>313</v>
      </c>
      <c r="H715" s="49">
        <f t="shared" ref="H715" si="3225">(F715-F714)/F714</f>
        <v>-8.2289803220035776E-2</v>
      </c>
      <c r="I715" s="58">
        <f t="shared" ref="I715" si="3226">(E715-E714)/E714</f>
        <v>-0.34853420195439738</v>
      </c>
      <c r="J715" s="30">
        <f t="shared" ref="J715" si="3227">E715-E714</f>
        <v>-107</v>
      </c>
      <c r="K715" s="13">
        <f t="shared" ref="K715" si="3228">(F715-F663)/F663</f>
        <v>-0.32411067193675891</v>
      </c>
      <c r="L715" s="3">
        <f t="shared" ref="L715" si="3229">AVERAGE(F559,F611,F663)</f>
        <v>631.66666666666663</v>
      </c>
    </row>
    <row r="716" spans="1:12" ht="14.25" x14ac:dyDescent="0.2">
      <c r="A716" s="21">
        <f t="shared" si="3194"/>
        <v>43603</v>
      </c>
      <c r="B716" s="3">
        <v>38</v>
      </c>
      <c r="C716" s="3">
        <v>0</v>
      </c>
      <c r="D716" s="3">
        <v>172</v>
      </c>
      <c r="E716" s="3">
        <f t="shared" ref="E716" si="3230">SUM(B716:D716)</f>
        <v>210</v>
      </c>
      <c r="F716" s="52">
        <v>513</v>
      </c>
      <c r="G716" s="3">
        <f t="shared" ref="G716" si="3231">F716-E716</f>
        <v>303</v>
      </c>
      <c r="H716" s="49">
        <f t="shared" ref="H716" si="3232">(F716-F715)/F715</f>
        <v>0</v>
      </c>
      <c r="I716" s="58">
        <f t="shared" ref="I716" si="3233">(E716-E715)/E715</f>
        <v>0.05</v>
      </c>
      <c r="J716" s="30">
        <f t="shared" ref="J716" si="3234">E716-E715</f>
        <v>10</v>
      </c>
      <c r="K716" s="13">
        <f t="shared" ref="K716" si="3235">(F716-F664)/F664</f>
        <v>-0.26398852223816355</v>
      </c>
      <c r="L716" s="3">
        <f t="shared" ref="L716" si="3236">AVERAGE(F560,F612,F664)</f>
        <v>562</v>
      </c>
    </row>
    <row r="717" spans="1:12" s="63" customFormat="1" ht="14.25" x14ac:dyDescent="0.2">
      <c r="A717" s="21">
        <f t="shared" si="3194"/>
        <v>43610</v>
      </c>
      <c r="B717" s="48">
        <v>183</v>
      </c>
      <c r="C717" s="48">
        <v>3</v>
      </c>
      <c r="D717" s="48">
        <v>138</v>
      </c>
      <c r="E717" s="48">
        <f t="shared" ref="E717" si="3237">SUM(B717:D717)</f>
        <v>324</v>
      </c>
      <c r="F717" s="52">
        <v>432</v>
      </c>
      <c r="G717" s="48">
        <f t="shared" ref="G717" si="3238">F717-E717</f>
        <v>108</v>
      </c>
      <c r="H717" s="49">
        <f t="shared" ref="H717" si="3239">(F717-F716)/F716</f>
        <v>-0.15789473684210525</v>
      </c>
      <c r="I717" s="58">
        <f t="shared" ref="I717" si="3240">(E717-E716)/E716</f>
        <v>0.54285714285714282</v>
      </c>
      <c r="J717" s="30">
        <f t="shared" ref="J717" si="3241">E717-E716</f>
        <v>114</v>
      </c>
      <c r="K717" s="62">
        <f t="shared" ref="K717" si="3242">(F717-F665)/F665</f>
        <v>-0.38896746817538896</v>
      </c>
      <c r="L717" s="48">
        <f t="shared" ref="L717" si="3243">AVERAGE(F561,F613,F665)</f>
        <v>568.33333333333337</v>
      </c>
    </row>
    <row r="718" spans="1:12" s="63" customFormat="1" ht="14.25" x14ac:dyDescent="0.2">
      <c r="A718" s="21">
        <f t="shared" si="3194"/>
        <v>43617</v>
      </c>
      <c r="B718" s="48">
        <v>0</v>
      </c>
      <c r="C718" s="48">
        <v>0</v>
      </c>
      <c r="D718" s="48">
        <v>153</v>
      </c>
      <c r="E718" s="48">
        <f t="shared" ref="E718:E724" si="3244">SUM(B718:D718)</f>
        <v>153</v>
      </c>
      <c r="F718" s="52">
        <v>443</v>
      </c>
      <c r="G718" s="48">
        <f t="shared" ref="G718" si="3245">F718-E718</f>
        <v>290</v>
      </c>
      <c r="H718" s="49">
        <f t="shared" ref="H718" si="3246">(F718-F717)/F717</f>
        <v>2.5462962962962962E-2</v>
      </c>
      <c r="I718" s="58">
        <f t="shared" ref="I718" si="3247">(E718-E717)/E717</f>
        <v>-0.52777777777777779</v>
      </c>
      <c r="J718" s="30">
        <f t="shared" ref="J718" si="3248">E718-E717</f>
        <v>-171</v>
      </c>
      <c r="K718" s="62">
        <f t="shared" ref="K718" si="3249">(F718-F666)/F666</f>
        <v>-0.34660766961651918</v>
      </c>
      <c r="L718" s="48">
        <f t="shared" ref="L718" si="3250">AVERAGE(F562,F614,F666)</f>
        <v>594.66666666666663</v>
      </c>
    </row>
    <row r="719" spans="1:12" s="63" customFormat="1" ht="14.25" x14ac:dyDescent="0.2">
      <c r="A719" s="21">
        <f t="shared" si="3194"/>
        <v>43624</v>
      </c>
      <c r="B719" s="48">
        <v>0</v>
      </c>
      <c r="C719" s="48">
        <v>0</v>
      </c>
      <c r="D719" s="48">
        <v>145</v>
      </c>
      <c r="E719" s="48">
        <f t="shared" si="3244"/>
        <v>145</v>
      </c>
      <c r="F719" s="52">
        <v>383</v>
      </c>
      <c r="G719" s="48">
        <f t="shared" ref="G719" si="3251">F719-E719</f>
        <v>238</v>
      </c>
      <c r="H719" s="49">
        <f t="shared" ref="H719" si="3252">(F719-F718)/F718</f>
        <v>-0.13544018058690746</v>
      </c>
      <c r="I719" s="58">
        <f t="shared" ref="I719" si="3253">(E719-E718)/E718</f>
        <v>-5.2287581699346407E-2</v>
      </c>
      <c r="J719" s="30">
        <f t="shared" ref="J719" si="3254">E719-E718</f>
        <v>-8</v>
      </c>
      <c r="K719" s="62">
        <f t="shared" ref="K719" si="3255">(F719-F667)/F667</f>
        <v>-0.5456702253855279</v>
      </c>
      <c r="L719" s="48">
        <f t="shared" ref="L719" si="3256">AVERAGE(F563,F615,F667)</f>
        <v>716.66666666666663</v>
      </c>
    </row>
    <row r="720" spans="1:12" s="63" customFormat="1" ht="14.25" x14ac:dyDescent="0.2">
      <c r="A720" s="21">
        <f t="shared" si="3194"/>
        <v>43631</v>
      </c>
      <c r="B720" s="48">
        <v>0</v>
      </c>
      <c r="C720" s="48">
        <v>0</v>
      </c>
      <c r="D720" s="48">
        <v>188</v>
      </c>
      <c r="E720" s="48">
        <f t="shared" si="3244"/>
        <v>188</v>
      </c>
      <c r="F720" s="52">
        <v>349</v>
      </c>
      <c r="G720" s="48">
        <f t="shared" ref="G720:G721" si="3257">F720-E720</f>
        <v>161</v>
      </c>
      <c r="H720" s="49">
        <f t="shared" ref="H720" si="3258">(F720-F719)/F719</f>
        <v>-8.877284595300261E-2</v>
      </c>
      <c r="I720" s="58">
        <f t="shared" ref="I720" si="3259">(E720-E719)/E719</f>
        <v>0.29655172413793102</v>
      </c>
      <c r="J720" s="30">
        <f t="shared" ref="J720" si="3260">E720-E719</f>
        <v>43</v>
      </c>
      <c r="K720" s="62">
        <f t="shared" ref="K720" si="3261">(F720-F668)/F668</f>
        <v>-0.43252032520325201</v>
      </c>
      <c r="L720" s="48">
        <f t="shared" ref="L720" si="3262">AVERAGE(F564,F616,F668)</f>
        <v>632</v>
      </c>
    </row>
    <row r="721" spans="1:12" ht="14.25" x14ac:dyDescent="0.2">
      <c r="A721" s="21">
        <f t="shared" si="3194"/>
        <v>43638</v>
      </c>
      <c r="B721" s="3">
        <v>0</v>
      </c>
      <c r="C721" s="3">
        <v>3</v>
      </c>
      <c r="D721" s="3">
        <v>88</v>
      </c>
      <c r="E721" s="48">
        <f t="shared" si="3244"/>
        <v>91</v>
      </c>
      <c r="F721" s="52">
        <v>265</v>
      </c>
      <c r="G721" s="48">
        <f t="shared" si="3257"/>
        <v>174</v>
      </c>
      <c r="H721" s="49">
        <f t="shared" ref="H721" si="3263">(F721-F720)/F720</f>
        <v>-0.24068767908309455</v>
      </c>
      <c r="I721" s="58">
        <f t="shared" ref="I721" si="3264">(E721-E720)/E720</f>
        <v>-0.51595744680851063</v>
      </c>
      <c r="J721" s="30">
        <f t="shared" ref="J721" si="3265">E721-E720</f>
        <v>-97</v>
      </c>
      <c r="K721" s="62">
        <f t="shared" ref="K721" si="3266">(F721-F669)/F669</f>
        <v>-0.6712158808933002</v>
      </c>
      <c r="L721" s="48">
        <f t="shared" ref="L721" si="3267">AVERAGE(F565,F617,F669)</f>
        <v>611.33333333333337</v>
      </c>
    </row>
    <row r="722" spans="1:12" ht="14.25" x14ac:dyDescent="0.2">
      <c r="A722" s="21">
        <f t="shared" si="3194"/>
        <v>43645</v>
      </c>
      <c r="B722" s="3">
        <v>344</v>
      </c>
      <c r="C722" s="3">
        <v>15</v>
      </c>
      <c r="D722" s="3">
        <v>110</v>
      </c>
      <c r="E722" s="48">
        <f t="shared" si="3244"/>
        <v>469</v>
      </c>
      <c r="F722" s="52">
        <v>373</v>
      </c>
      <c r="G722" s="48">
        <f t="shared" ref="G722" si="3268">F722-E722</f>
        <v>-96</v>
      </c>
      <c r="H722" s="49">
        <f t="shared" ref="H722" si="3269">(F722-F721)/F721</f>
        <v>0.40754716981132078</v>
      </c>
      <c r="I722" s="58">
        <f t="shared" ref="I722" si="3270">(E722-E721)/E721</f>
        <v>4.1538461538461542</v>
      </c>
      <c r="J722" s="30">
        <f t="shared" ref="J722" si="3271">E722-E721</f>
        <v>378</v>
      </c>
      <c r="K722" s="62">
        <f t="shared" ref="K722" si="3272">(F722-F670)/F670</f>
        <v>-0.52784810126582282</v>
      </c>
      <c r="L722" s="48">
        <f t="shared" ref="L722" si="3273">AVERAGE(F566,F618,F670)</f>
        <v>656.33333333333337</v>
      </c>
    </row>
    <row r="723" spans="1:12" ht="14.25" x14ac:dyDescent="0.2">
      <c r="A723" s="21">
        <f t="shared" si="3194"/>
        <v>43652</v>
      </c>
      <c r="B723" s="3">
        <v>330</v>
      </c>
      <c r="C723" s="3">
        <v>20</v>
      </c>
      <c r="D723" s="3">
        <v>139</v>
      </c>
      <c r="E723" s="48">
        <f t="shared" si="3244"/>
        <v>489</v>
      </c>
      <c r="F723" s="52">
        <v>434</v>
      </c>
      <c r="G723" s="48">
        <f t="shared" ref="G723" si="3274">F723-E723</f>
        <v>-55</v>
      </c>
      <c r="H723" s="49">
        <f t="shared" ref="H723" si="3275">(F723-F722)/F722</f>
        <v>0.16353887399463807</v>
      </c>
      <c r="I723" s="58">
        <f t="shared" ref="I723" si="3276">(E723-E722)/E722</f>
        <v>4.2643923240938165E-2</v>
      </c>
      <c r="J723" s="30">
        <f t="shared" ref="J723" si="3277">E723-E722</f>
        <v>20</v>
      </c>
      <c r="K723" s="62">
        <f t="shared" ref="K723" si="3278">(F723-F671)/F671</f>
        <v>-0.38873239436619716</v>
      </c>
      <c r="L723" s="48">
        <f t="shared" ref="L723" si="3279">AVERAGE(F567,F619,F671)</f>
        <v>711.66666666666663</v>
      </c>
    </row>
    <row r="724" spans="1:12" ht="14.25" x14ac:dyDescent="0.2">
      <c r="A724" s="21">
        <f t="shared" si="3194"/>
        <v>43659</v>
      </c>
      <c r="B724" s="3">
        <v>326</v>
      </c>
      <c r="C724" s="3">
        <v>10</v>
      </c>
      <c r="D724" s="3">
        <v>92</v>
      </c>
      <c r="E724" s="48">
        <f t="shared" si="3244"/>
        <v>428</v>
      </c>
      <c r="F724" s="52">
        <v>299</v>
      </c>
      <c r="G724" s="48">
        <f>F724-E724</f>
        <v>-129</v>
      </c>
      <c r="H724" s="49">
        <f t="shared" ref="H724" si="3280">(F724-F723)/F723</f>
        <v>-0.31105990783410137</v>
      </c>
      <c r="I724" s="58">
        <f t="shared" ref="I724" si="3281">(E724-E723)/E723</f>
        <v>-0.12474437627811862</v>
      </c>
      <c r="J724" s="30">
        <f t="shared" ref="J724" si="3282">E724-E723</f>
        <v>-61</v>
      </c>
      <c r="K724" s="62">
        <f t="shared" ref="K724" si="3283">(F724-F672)/F672</f>
        <v>-0.61469072164948457</v>
      </c>
      <c r="L724" s="48">
        <f t="shared" ref="L724" si="3284">AVERAGE(F568,F620,F672)</f>
        <v>704.66666666666663</v>
      </c>
    </row>
    <row r="725" spans="1:12" ht="14.25" x14ac:dyDescent="0.2">
      <c r="A725" s="21">
        <f t="shared" si="3194"/>
        <v>43666</v>
      </c>
      <c r="B725" s="3">
        <v>417</v>
      </c>
      <c r="C725" s="3">
        <v>8</v>
      </c>
      <c r="D725" s="3">
        <v>65</v>
      </c>
      <c r="E725" s="48">
        <f>SUM(B725:D725)</f>
        <v>490</v>
      </c>
      <c r="F725" s="52">
        <v>415</v>
      </c>
      <c r="G725" s="48">
        <f t="shared" ref="G725" si="3285">F725-E725</f>
        <v>-75</v>
      </c>
      <c r="H725" s="49">
        <f t="shared" ref="H725" si="3286">(F725-F724)/F724</f>
        <v>0.38795986622073581</v>
      </c>
      <c r="I725" s="58">
        <f t="shared" ref="I725" si="3287">(E725-E724)/E724</f>
        <v>0.14485981308411214</v>
      </c>
      <c r="J725" s="30">
        <f t="shared" ref="J725" si="3288">E725-E724</f>
        <v>62</v>
      </c>
      <c r="K725" s="62">
        <f t="shared" ref="K725" si="3289">(F725-F673)/F673</f>
        <v>-0.48318804483188044</v>
      </c>
      <c r="L725" s="48">
        <f t="shared" ref="L725" si="3290">AVERAGE(F569,F621,F673)</f>
        <v>778</v>
      </c>
    </row>
    <row r="726" spans="1:12" ht="14.25" x14ac:dyDescent="0.2">
      <c r="A726" s="21">
        <f t="shared" si="3194"/>
        <v>43673</v>
      </c>
      <c r="B726" s="65">
        <v>429</v>
      </c>
      <c r="C726" s="65">
        <v>6</v>
      </c>
      <c r="D726" s="65">
        <v>61</v>
      </c>
      <c r="E726" s="48">
        <f t="shared" ref="E726:E753" si="3291">SUM(B726:D726)</f>
        <v>496</v>
      </c>
      <c r="F726" s="52">
        <v>590</v>
      </c>
      <c r="G726" s="48">
        <f t="shared" ref="G726" si="3292">F726-E726</f>
        <v>94</v>
      </c>
      <c r="H726" s="49">
        <f t="shared" ref="H726" si="3293">(F726-F725)/F725</f>
        <v>0.42168674698795183</v>
      </c>
      <c r="I726" s="58">
        <f t="shared" ref="I726" si="3294">(E726-E725)/E725</f>
        <v>1.2244897959183673E-2</v>
      </c>
      <c r="J726" s="30">
        <f t="shared" ref="J726" si="3295">E726-E725</f>
        <v>6</v>
      </c>
      <c r="K726" s="62">
        <f t="shared" ref="K726" si="3296">(F726-F674)/F674</f>
        <v>-0.36078006500541709</v>
      </c>
      <c r="L726" s="48">
        <f t="shared" ref="L726" si="3297">AVERAGE(F570,F622,F674)</f>
        <v>761.33333333333337</v>
      </c>
    </row>
    <row r="727" spans="1:12" ht="14.25" x14ac:dyDescent="0.2">
      <c r="A727" s="21">
        <f t="shared" si="3194"/>
        <v>43680</v>
      </c>
      <c r="B727" s="65">
        <v>383</v>
      </c>
      <c r="C727" s="65">
        <v>5</v>
      </c>
      <c r="D727" s="65">
        <v>54</v>
      </c>
      <c r="E727" s="48">
        <f t="shared" si="3291"/>
        <v>442</v>
      </c>
      <c r="F727" s="52">
        <v>660</v>
      </c>
      <c r="G727" s="48">
        <f t="shared" ref="G727:G728" si="3298">F727-E727</f>
        <v>218</v>
      </c>
      <c r="H727" s="49">
        <f t="shared" ref="H727" si="3299">(F727-F726)/F726</f>
        <v>0.11864406779661017</v>
      </c>
      <c r="I727" s="58">
        <f t="shared" ref="I727" si="3300">(E727-E726)/E726</f>
        <v>-0.10887096774193548</v>
      </c>
      <c r="J727" s="30">
        <f t="shared" ref="J727" si="3301">E727-E726</f>
        <v>-54</v>
      </c>
      <c r="K727" s="62">
        <f t="shared" ref="K727" si="3302">(F727-F675)/F675</f>
        <v>-9.7127222982216141E-2</v>
      </c>
      <c r="L727" s="48">
        <f t="shared" ref="L727" si="3303">AVERAGE(F571,F623,F675)</f>
        <v>713.66666666666663</v>
      </c>
    </row>
    <row r="728" spans="1:12" ht="14.25" x14ac:dyDescent="0.2">
      <c r="A728" s="21">
        <f t="shared" si="3194"/>
        <v>43687</v>
      </c>
      <c r="B728" s="48">
        <v>321</v>
      </c>
      <c r="C728" s="48">
        <v>5</v>
      </c>
      <c r="D728" s="48">
        <v>42</v>
      </c>
      <c r="E728" s="48">
        <f t="shared" si="3291"/>
        <v>368</v>
      </c>
      <c r="F728" s="52">
        <v>705</v>
      </c>
      <c r="G728" s="3">
        <f t="shared" si="3298"/>
        <v>337</v>
      </c>
      <c r="H728" s="49">
        <f t="shared" ref="H728" si="3304">(F728-F727)/F727</f>
        <v>6.8181818181818177E-2</v>
      </c>
      <c r="I728" s="58">
        <f t="shared" ref="I728" si="3305">(E728-E727)/E727</f>
        <v>-0.167420814479638</v>
      </c>
      <c r="J728" s="30">
        <f t="shared" ref="J728" si="3306">E728-E727</f>
        <v>-74</v>
      </c>
      <c r="K728" s="62">
        <f t="shared" ref="K728" si="3307">(F728-F676)/F676</f>
        <v>5.6971514242878558E-2</v>
      </c>
      <c r="L728" s="48">
        <f t="shared" ref="L728" si="3308">AVERAGE(F572,F624,F676)</f>
        <v>638</v>
      </c>
    </row>
    <row r="729" spans="1:12" ht="14.25" x14ac:dyDescent="0.2">
      <c r="A729" s="21">
        <f t="shared" si="3194"/>
        <v>43694</v>
      </c>
      <c r="B729" s="65">
        <v>297</v>
      </c>
      <c r="C729" s="65">
        <v>12</v>
      </c>
      <c r="D729" s="65">
        <v>39</v>
      </c>
      <c r="E729" s="48">
        <f t="shared" si="3291"/>
        <v>348</v>
      </c>
      <c r="F729" s="52">
        <v>682</v>
      </c>
      <c r="G729" s="3">
        <f t="shared" ref="G729" si="3309">F729-E729</f>
        <v>334</v>
      </c>
      <c r="H729" s="49">
        <f t="shared" ref="H729" si="3310">(F729-F728)/F728</f>
        <v>-3.2624113475177303E-2</v>
      </c>
      <c r="I729" s="58">
        <f t="shared" ref="I729" si="3311">(E729-E728)/E728</f>
        <v>-5.434782608695652E-2</v>
      </c>
      <c r="J729" s="30">
        <f t="shared" ref="J729" si="3312">E729-E728</f>
        <v>-20</v>
      </c>
      <c r="K729" s="62">
        <f t="shared" ref="K729" si="3313">(F729-F677)/F677</f>
        <v>-6.7031463748290013E-2</v>
      </c>
      <c r="L729" s="48">
        <f t="shared" ref="L729" si="3314">AVERAGE(F573,F625,F677)</f>
        <v>750.66666666666663</v>
      </c>
    </row>
    <row r="730" spans="1:12" ht="14.25" x14ac:dyDescent="0.2">
      <c r="A730" s="21">
        <f t="shared" si="3194"/>
        <v>43701</v>
      </c>
      <c r="B730" s="65">
        <v>504</v>
      </c>
      <c r="C730" s="65">
        <v>23</v>
      </c>
      <c r="D730" s="65">
        <v>37</v>
      </c>
      <c r="E730" s="48">
        <f t="shared" si="3291"/>
        <v>564</v>
      </c>
      <c r="F730" s="52">
        <v>599</v>
      </c>
      <c r="G730" s="3">
        <f t="shared" ref="G730" si="3315">F730-E730</f>
        <v>35</v>
      </c>
      <c r="H730" s="49">
        <f t="shared" ref="H730" si="3316">(F730-F729)/F729</f>
        <v>-0.1217008797653959</v>
      </c>
      <c r="I730" s="58">
        <f t="shared" ref="I730" si="3317">(E730-E729)/E729</f>
        <v>0.62068965517241381</v>
      </c>
      <c r="J730" s="30">
        <f t="shared" ref="J730" si="3318">E730-E729</f>
        <v>216</v>
      </c>
      <c r="K730" s="62">
        <f t="shared" ref="K730" si="3319">(F730-F678)/F678</f>
        <v>-0.20133333333333334</v>
      </c>
      <c r="L730" s="48">
        <f t="shared" ref="L730" si="3320">AVERAGE(F574,F626,F678)</f>
        <v>775.66666666666663</v>
      </c>
    </row>
    <row r="731" spans="1:12" ht="14.25" x14ac:dyDescent="0.2">
      <c r="A731" s="21">
        <f t="shared" si="3194"/>
        <v>43708</v>
      </c>
      <c r="B731" s="48">
        <v>429</v>
      </c>
      <c r="C731" s="48">
        <v>8</v>
      </c>
      <c r="D731" s="48">
        <v>28</v>
      </c>
      <c r="E731" s="48">
        <f t="shared" si="3291"/>
        <v>465</v>
      </c>
      <c r="F731" s="52">
        <v>642</v>
      </c>
      <c r="G731" s="3">
        <f t="shared" ref="G731" si="3321">F731-E731</f>
        <v>177</v>
      </c>
      <c r="H731" s="49">
        <f t="shared" ref="H731" si="3322">(F731-F730)/F730</f>
        <v>7.178631051752922E-2</v>
      </c>
      <c r="I731" s="58">
        <f t="shared" ref="I731" si="3323">(E731-E730)/E730</f>
        <v>-0.17553191489361702</v>
      </c>
      <c r="J731" s="30">
        <f t="shared" ref="J731" si="3324">E731-E730</f>
        <v>-99</v>
      </c>
      <c r="K731" s="62">
        <f t="shared" ref="K731" si="3325">(F731-F679)/F679</f>
        <v>-0.11203319502074689</v>
      </c>
      <c r="L731" s="48">
        <f t="shared" ref="L731" si="3326">AVERAGE(F575,F627,F679)</f>
        <v>790.33333333333337</v>
      </c>
    </row>
    <row r="732" spans="1:12" ht="14.25" x14ac:dyDescent="0.2">
      <c r="A732" s="21">
        <f t="shared" si="3194"/>
        <v>43715</v>
      </c>
      <c r="B732" s="48">
        <v>176</v>
      </c>
      <c r="C732" s="48">
        <v>3</v>
      </c>
      <c r="D732" s="48">
        <v>42</v>
      </c>
      <c r="E732" s="48">
        <f t="shared" si="3291"/>
        <v>221</v>
      </c>
      <c r="F732" s="52">
        <v>679</v>
      </c>
      <c r="G732" s="3">
        <f t="shared" ref="G732" si="3327">F732-E732</f>
        <v>458</v>
      </c>
      <c r="H732" s="49">
        <f t="shared" ref="H732" si="3328">(F732-F731)/F731</f>
        <v>5.763239875389408E-2</v>
      </c>
      <c r="I732" s="58">
        <f t="shared" ref="I732" si="3329">(E732-E731)/E731</f>
        <v>-0.52473118279569897</v>
      </c>
      <c r="J732" s="30">
        <f t="shared" ref="J732" si="3330">E732-E731</f>
        <v>-244</v>
      </c>
      <c r="K732" s="62">
        <f t="shared" ref="K732" si="3331">(F732-F680)/F680</f>
        <v>-5.9556786703601108E-2</v>
      </c>
      <c r="L732" s="48">
        <f t="shared" ref="L732" si="3332">AVERAGE(F576,F628,F680)</f>
        <v>825.66666666666663</v>
      </c>
    </row>
    <row r="733" spans="1:12" ht="14.25" x14ac:dyDescent="0.2">
      <c r="A733" s="21">
        <f t="shared" si="3194"/>
        <v>43722</v>
      </c>
      <c r="B733" s="65">
        <v>435</v>
      </c>
      <c r="C733" s="65">
        <v>3</v>
      </c>
      <c r="D733" s="65">
        <v>35</v>
      </c>
      <c r="E733" s="48">
        <f t="shared" si="3291"/>
        <v>473</v>
      </c>
      <c r="F733" s="52">
        <v>374</v>
      </c>
      <c r="G733" s="3">
        <f t="shared" ref="G733" si="3333">F733-E733</f>
        <v>-99</v>
      </c>
      <c r="H733" s="49">
        <f t="shared" ref="H733" si="3334">(F733-F732)/F732</f>
        <v>-0.44918998527245951</v>
      </c>
      <c r="I733" s="58">
        <f t="shared" ref="I733" si="3335">(E733-E732)/E732</f>
        <v>1.1402714932126696</v>
      </c>
      <c r="J733" s="30">
        <f t="shared" ref="J733" si="3336">E733-E732</f>
        <v>252</v>
      </c>
      <c r="K733" s="62">
        <f t="shared" ref="K733" si="3337">(F733-F681)/F681</f>
        <v>-0.51928020565552702</v>
      </c>
      <c r="L733" s="48">
        <f t="shared" ref="L733" si="3338">AVERAGE(F577,F629,F681)</f>
        <v>742</v>
      </c>
    </row>
    <row r="734" spans="1:12" ht="14.25" x14ac:dyDescent="0.2">
      <c r="A734" s="21">
        <f t="shared" si="3194"/>
        <v>43729</v>
      </c>
      <c r="B734" s="65">
        <v>288</v>
      </c>
      <c r="C734" s="65">
        <v>6</v>
      </c>
      <c r="D734" s="65">
        <v>33</v>
      </c>
      <c r="E734" s="48">
        <f t="shared" si="3291"/>
        <v>327</v>
      </c>
      <c r="F734" s="52">
        <v>629</v>
      </c>
      <c r="G734" s="3">
        <f t="shared" ref="G734" si="3339">F734-E734</f>
        <v>302</v>
      </c>
      <c r="H734" s="49">
        <f t="shared" ref="H734" si="3340">(F734-F733)/F733</f>
        <v>0.68181818181818177</v>
      </c>
      <c r="I734" s="58">
        <f t="shared" ref="I734" si="3341">(E734-E733)/E733</f>
        <v>-0.30866807610993657</v>
      </c>
      <c r="J734" s="30">
        <f t="shared" ref="J734" si="3342">E734-E733</f>
        <v>-146</v>
      </c>
      <c r="K734" s="62">
        <f t="shared" ref="K734" si="3343">(F734-F682)/F682</f>
        <v>-0.15683646112600536</v>
      </c>
      <c r="L734" s="48">
        <f t="shared" ref="L734" si="3344">AVERAGE(F578,F630,F682)</f>
        <v>746.66666666666663</v>
      </c>
    </row>
    <row r="735" spans="1:12" ht="14.25" x14ac:dyDescent="0.2">
      <c r="A735" s="21">
        <f t="shared" si="3194"/>
        <v>43736</v>
      </c>
      <c r="B735" s="3">
        <v>301</v>
      </c>
      <c r="C735" s="3">
        <v>9</v>
      </c>
      <c r="D735" s="3">
        <v>45</v>
      </c>
      <c r="E735" s="48">
        <f t="shared" si="3291"/>
        <v>355</v>
      </c>
      <c r="F735" s="52">
        <v>681</v>
      </c>
      <c r="G735" s="3">
        <f t="shared" ref="G735" si="3345">F735-E735</f>
        <v>326</v>
      </c>
      <c r="H735" s="49">
        <f t="shared" ref="H735" si="3346">(F735-F734)/F734</f>
        <v>8.2670906200317959E-2</v>
      </c>
      <c r="I735" s="58">
        <f t="shared" ref="I735" si="3347">(E735-E734)/E734</f>
        <v>8.5626911314984705E-2</v>
      </c>
      <c r="J735" s="30">
        <f t="shared" ref="J735" si="3348">E735-E734</f>
        <v>28</v>
      </c>
      <c r="K735" s="62">
        <f t="shared" ref="K735" si="3349">(F735-F683)/F683</f>
        <v>-0.10158311345646438</v>
      </c>
      <c r="L735" s="48">
        <f t="shared" ref="L735" si="3350">AVERAGE(F579,F631,F683)</f>
        <v>766.66666666666663</v>
      </c>
    </row>
    <row r="736" spans="1:12" ht="14.25" x14ac:dyDescent="0.2">
      <c r="A736" s="21">
        <f t="shared" si="3194"/>
        <v>43743</v>
      </c>
      <c r="B736" s="65">
        <v>218</v>
      </c>
      <c r="C736" s="65">
        <v>13</v>
      </c>
      <c r="D736" s="65">
        <v>83</v>
      </c>
      <c r="E736" s="48">
        <f t="shared" si="3291"/>
        <v>314</v>
      </c>
      <c r="F736" s="52">
        <v>669</v>
      </c>
      <c r="G736" s="3">
        <f t="shared" ref="G736" si="3351">F736-E736</f>
        <v>355</v>
      </c>
      <c r="H736" s="49">
        <f t="shared" ref="H736" si="3352">(F736-F735)/F735</f>
        <v>-1.7621145374449341E-2</v>
      </c>
      <c r="I736" s="58">
        <f t="shared" ref="I736" si="3353">(E736-E735)/E735</f>
        <v>-0.11549295774647887</v>
      </c>
      <c r="J736" s="30">
        <f t="shared" ref="J736" si="3354">E736-E735</f>
        <v>-41</v>
      </c>
      <c r="K736" s="62">
        <f t="shared" ref="K736" si="3355">(F736-F684)/F684</f>
        <v>-0.16375000000000001</v>
      </c>
      <c r="L736" s="48">
        <f t="shared" ref="L736" si="3356">AVERAGE(F580,F632,F684)</f>
        <v>797</v>
      </c>
    </row>
    <row r="737" spans="1:12" ht="14.25" x14ac:dyDescent="0.2">
      <c r="A737" s="21">
        <f t="shared" si="3194"/>
        <v>43750</v>
      </c>
      <c r="B737" s="65">
        <v>187</v>
      </c>
      <c r="C737" s="65">
        <v>51</v>
      </c>
      <c r="D737" s="65">
        <v>89</v>
      </c>
      <c r="E737" s="48">
        <f t="shared" si="3291"/>
        <v>327</v>
      </c>
      <c r="F737" s="52">
        <v>736</v>
      </c>
      <c r="G737" s="3">
        <f t="shared" ref="G737" si="3357">F737-E737</f>
        <v>409</v>
      </c>
      <c r="H737" s="49">
        <f t="shared" ref="H737" si="3358">(F737-F736)/F736</f>
        <v>0.10014947683109118</v>
      </c>
      <c r="I737" s="58">
        <f t="shared" ref="I737" si="3359">(E737-E736)/E736</f>
        <v>4.1401273885350316E-2</v>
      </c>
      <c r="J737" s="30">
        <f t="shared" ref="J737" si="3360">E737-E736</f>
        <v>13</v>
      </c>
      <c r="K737" s="62">
        <f t="shared" ref="K737" si="3361">(F737-F685)/F685</f>
        <v>-0.17857142857142858</v>
      </c>
      <c r="L737" s="48">
        <f t="shared" ref="L737" si="3362">AVERAGE(F581,F633,F685)</f>
        <v>847</v>
      </c>
    </row>
    <row r="738" spans="1:12" ht="14.25" x14ac:dyDescent="0.2">
      <c r="A738" s="21">
        <f t="shared" si="3194"/>
        <v>43757</v>
      </c>
      <c r="B738" s="65">
        <v>101</v>
      </c>
      <c r="C738" s="65">
        <v>26</v>
      </c>
      <c r="D738" s="65">
        <v>69</v>
      </c>
      <c r="E738" s="48">
        <f t="shared" si="3291"/>
        <v>196</v>
      </c>
      <c r="F738" s="52">
        <v>804</v>
      </c>
      <c r="G738" s="3">
        <f t="shared" ref="G738" si="3363">F738-E738</f>
        <v>608</v>
      </c>
      <c r="H738" s="49">
        <f t="shared" ref="H738" si="3364">(F738-F737)/F737</f>
        <v>9.2391304347826081E-2</v>
      </c>
      <c r="I738" s="58">
        <f t="shared" ref="I738" si="3365">(E738-E737)/E737</f>
        <v>-0.40061162079510704</v>
      </c>
      <c r="J738" s="30">
        <f t="shared" ref="J738" si="3366">E738-E737</f>
        <v>-131</v>
      </c>
      <c r="K738" s="62">
        <f t="shared" ref="K738" si="3367">(F738-F686)/F686</f>
        <v>-3.3653846153846152E-2</v>
      </c>
      <c r="L738" s="48">
        <f t="shared" ref="L738" si="3368">AVERAGE(F582,F634,F686)</f>
        <v>937.66666666666663</v>
      </c>
    </row>
    <row r="739" spans="1:12" ht="14.25" x14ac:dyDescent="0.2">
      <c r="A739" s="21">
        <f t="shared" si="3194"/>
        <v>43764</v>
      </c>
      <c r="B739" s="65">
        <v>265</v>
      </c>
      <c r="C739" s="65">
        <v>55</v>
      </c>
      <c r="D739" s="65">
        <v>94</v>
      </c>
      <c r="E739" s="48">
        <f t="shared" si="3291"/>
        <v>414</v>
      </c>
      <c r="F739" s="52">
        <v>605</v>
      </c>
      <c r="G739" s="3">
        <f t="shared" ref="G739" si="3369">F739-E739</f>
        <v>191</v>
      </c>
      <c r="H739" s="49">
        <f t="shared" ref="H739" si="3370">(F739-F738)/F738</f>
        <v>-0.24751243781094528</v>
      </c>
      <c r="I739" s="58">
        <f t="shared" ref="I739" si="3371">(E739-E738)/E738</f>
        <v>1.1122448979591837</v>
      </c>
      <c r="J739" s="30">
        <f t="shared" ref="J739" si="3372">E739-E738</f>
        <v>218</v>
      </c>
      <c r="K739" s="62">
        <f t="shared" ref="K739" si="3373">(F739-F687)/F687</f>
        <v>-0.11420204978038068</v>
      </c>
      <c r="L739" s="48">
        <f t="shared" ref="L739" si="3374">AVERAGE(F583,F635,F687)</f>
        <v>841</v>
      </c>
    </row>
    <row r="740" spans="1:12" ht="14.25" x14ac:dyDescent="0.2">
      <c r="A740" s="21">
        <f t="shared" si="3194"/>
        <v>43771</v>
      </c>
      <c r="B740" s="48">
        <v>292</v>
      </c>
      <c r="C740" s="48">
        <v>27</v>
      </c>
      <c r="D740" s="48">
        <v>97</v>
      </c>
      <c r="E740" s="48">
        <f t="shared" si="3291"/>
        <v>416</v>
      </c>
      <c r="F740" s="52">
        <v>621</v>
      </c>
      <c r="G740" s="3">
        <f t="shared" ref="G740" si="3375">F740-E740</f>
        <v>205</v>
      </c>
      <c r="H740" s="49">
        <f t="shared" ref="H740" si="3376">(F740-F739)/F739</f>
        <v>2.6446280991735537E-2</v>
      </c>
      <c r="I740" s="58">
        <f t="shared" ref="I740" si="3377">(E740-E739)/E739</f>
        <v>4.830917874396135E-3</v>
      </c>
      <c r="J740" s="30">
        <f t="shared" ref="J740" si="3378">E740-E739</f>
        <v>2</v>
      </c>
      <c r="K740" s="62">
        <f t="shared" ref="K740" si="3379">(F740-F688)/F688</f>
        <v>-0.29271070615034167</v>
      </c>
      <c r="L740" s="48">
        <f t="shared" ref="L740" si="3380">AVERAGE(F584,F636,F688)</f>
        <v>992.33333333333337</v>
      </c>
    </row>
    <row r="741" spans="1:12" ht="14.25" x14ac:dyDescent="0.2">
      <c r="A741" s="21">
        <f t="shared" si="3194"/>
        <v>43778</v>
      </c>
      <c r="B741" s="48">
        <v>355</v>
      </c>
      <c r="C741" s="48">
        <v>17</v>
      </c>
      <c r="D741" s="48">
        <v>96</v>
      </c>
      <c r="E741" s="48">
        <f t="shared" si="3291"/>
        <v>468</v>
      </c>
      <c r="F741" s="52">
        <v>780</v>
      </c>
      <c r="G741" s="3">
        <f t="shared" ref="G741" si="3381">F741-E741</f>
        <v>312</v>
      </c>
      <c r="H741" s="49">
        <f t="shared" ref="H741" si="3382">(F741-F740)/F740</f>
        <v>0.2560386473429952</v>
      </c>
      <c r="I741" s="58">
        <f t="shared" ref="I741" si="3383">(E741-E740)/E740</f>
        <v>0.125</v>
      </c>
      <c r="J741" s="30">
        <f t="shared" ref="J741" si="3384">E741-E740</f>
        <v>52</v>
      </c>
      <c r="K741" s="62">
        <f t="shared" ref="K741" si="3385">(F741-F689)/F689</f>
        <v>1.8276762402088774E-2</v>
      </c>
      <c r="L741" s="48">
        <f t="shared" ref="L741" si="3386">AVERAGE(F585,F637,F689)</f>
        <v>904.33333333333337</v>
      </c>
    </row>
    <row r="742" spans="1:12" ht="14.25" x14ac:dyDescent="0.2">
      <c r="A742" s="21">
        <f t="shared" si="3194"/>
        <v>43785</v>
      </c>
      <c r="B742" s="65">
        <v>410</v>
      </c>
      <c r="C742" s="65">
        <v>34</v>
      </c>
      <c r="D742" s="65">
        <v>118</v>
      </c>
      <c r="E742" s="48">
        <f t="shared" si="3291"/>
        <v>562</v>
      </c>
      <c r="F742" s="52">
        <v>734</v>
      </c>
      <c r="G742" s="3">
        <f t="shared" ref="G742" si="3387">F742-E742</f>
        <v>172</v>
      </c>
      <c r="H742" s="49">
        <f t="shared" ref="H742" si="3388">(F742-F741)/F741</f>
        <v>-5.8974358974358973E-2</v>
      </c>
      <c r="I742" s="58">
        <f t="shared" ref="I742" si="3389">(E742-E741)/E741</f>
        <v>0.20085470085470086</v>
      </c>
      <c r="J742" s="30">
        <f t="shared" ref="J742" si="3390">E742-E741</f>
        <v>94</v>
      </c>
      <c r="K742" s="62">
        <f t="shared" ref="K742" si="3391">(F742-F690)/F690</f>
        <v>-7.672955974842767E-2</v>
      </c>
      <c r="L742" s="48">
        <f t="shared" ref="L742" si="3392">AVERAGE(F586,F638,F690)</f>
        <v>962</v>
      </c>
    </row>
    <row r="743" spans="1:12" ht="14.25" x14ac:dyDescent="0.2">
      <c r="A743" s="21">
        <f t="shared" si="3194"/>
        <v>43792</v>
      </c>
      <c r="B743" s="65">
        <v>506</v>
      </c>
      <c r="C743" s="65">
        <v>18</v>
      </c>
      <c r="D743" s="65">
        <v>98</v>
      </c>
      <c r="E743" s="48">
        <f t="shared" si="3291"/>
        <v>622</v>
      </c>
      <c r="F743" s="52">
        <v>855</v>
      </c>
      <c r="G743" s="3">
        <f t="shared" ref="G743" si="3393">F743-E743</f>
        <v>233</v>
      </c>
      <c r="H743" s="49">
        <f t="shared" ref="H743" si="3394">(F743-F742)/F742</f>
        <v>0.16485013623978201</v>
      </c>
      <c r="I743" s="58">
        <f t="shared" ref="I743" si="3395">(E743-E742)/E742</f>
        <v>0.10676156583629894</v>
      </c>
      <c r="J743" s="30">
        <f t="shared" ref="J743" si="3396">E743-E742</f>
        <v>60</v>
      </c>
      <c r="K743" s="62">
        <f t="shared" ref="K743" si="3397">(F743-F691)/F691</f>
        <v>-1.0416666666666666E-2</v>
      </c>
      <c r="L743" s="48">
        <f t="shared" ref="L743" si="3398">AVERAGE(F587,F639,F691)</f>
        <v>924</v>
      </c>
    </row>
    <row r="744" spans="1:12" ht="14.25" x14ac:dyDescent="0.2">
      <c r="A744" s="21">
        <f t="shared" si="3194"/>
        <v>43799</v>
      </c>
      <c r="B744" s="65">
        <v>582</v>
      </c>
      <c r="C744" s="65">
        <v>38</v>
      </c>
      <c r="D744" s="65">
        <v>74</v>
      </c>
      <c r="E744" s="48">
        <f t="shared" si="3291"/>
        <v>694</v>
      </c>
      <c r="F744" s="52">
        <v>672</v>
      </c>
      <c r="G744" s="3">
        <f t="shared" ref="G744" si="3399">F744-E744</f>
        <v>-22</v>
      </c>
      <c r="H744" s="49">
        <f t="shared" ref="H744" si="3400">(F744-F743)/F743</f>
        <v>-0.21403508771929824</v>
      </c>
      <c r="I744" s="58">
        <f t="shared" ref="I744" si="3401">(E744-E743)/E743</f>
        <v>0.1157556270096463</v>
      </c>
      <c r="J744" s="30">
        <f t="shared" ref="J744" si="3402">E744-E743</f>
        <v>72</v>
      </c>
      <c r="K744" s="62">
        <f t="shared" ref="K744" si="3403">(F744-F692)/F692</f>
        <v>-0.2558139534883721</v>
      </c>
      <c r="L744" s="48">
        <f t="shared" ref="L744" si="3404">AVERAGE(F588,F640,F692)</f>
        <v>924.33333333333337</v>
      </c>
    </row>
    <row r="745" spans="1:12" ht="14.25" x14ac:dyDescent="0.2">
      <c r="A745" s="21">
        <f t="shared" si="3194"/>
        <v>43806</v>
      </c>
      <c r="B745" s="65">
        <v>604</v>
      </c>
      <c r="C745" s="65">
        <v>48</v>
      </c>
      <c r="D745" s="65">
        <v>61</v>
      </c>
      <c r="E745" s="48">
        <f t="shared" si="3291"/>
        <v>713</v>
      </c>
      <c r="F745" s="52">
        <v>876</v>
      </c>
      <c r="G745" s="3">
        <f t="shared" ref="G745" si="3405">F745-E745</f>
        <v>163</v>
      </c>
      <c r="H745" s="49">
        <f t="shared" ref="H745" si="3406">(F745-F744)/F744</f>
        <v>0.30357142857142855</v>
      </c>
      <c r="I745" s="58">
        <f t="shared" ref="I745" si="3407">(E745-E744)/E744</f>
        <v>2.7377521613832854E-2</v>
      </c>
      <c r="J745" s="30">
        <f t="shared" ref="J745" si="3408">E745-E744</f>
        <v>19</v>
      </c>
      <c r="K745" s="62">
        <f t="shared" ref="K745" si="3409">(F745-F693)/F693</f>
        <v>0.10886075949367088</v>
      </c>
      <c r="L745" s="48">
        <f t="shared" ref="L745" si="3410">AVERAGE(F589,F641,F693)</f>
        <v>796.33333333333337</v>
      </c>
    </row>
    <row r="746" spans="1:12" ht="14.25" x14ac:dyDescent="0.2">
      <c r="A746" s="21">
        <f t="shared" si="3194"/>
        <v>43813</v>
      </c>
      <c r="B746" s="65">
        <v>325</v>
      </c>
      <c r="C746" s="65">
        <v>23</v>
      </c>
      <c r="D746" s="65">
        <v>105</v>
      </c>
      <c r="E746" s="48">
        <f t="shared" si="3291"/>
        <v>453</v>
      </c>
      <c r="F746" s="52">
        <v>685</v>
      </c>
      <c r="G746" s="3">
        <f t="shared" ref="G746" si="3411">F746-E746</f>
        <v>232</v>
      </c>
      <c r="H746" s="49">
        <f t="shared" ref="H746" si="3412">(F746-F745)/F745</f>
        <v>-0.2180365296803653</v>
      </c>
      <c r="I746" s="58">
        <f t="shared" ref="I746" si="3413">(E746-E745)/E745</f>
        <v>-0.36465638148667601</v>
      </c>
      <c r="J746" s="30">
        <f t="shared" ref="J746" si="3414">E746-E745</f>
        <v>-260</v>
      </c>
      <c r="K746" s="62">
        <f t="shared" ref="K746" si="3415">(F746-F694)/F694</f>
        <v>-0.16053921568627452</v>
      </c>
      <c r="L746" s="48">
        <f t="shared" ref="L746" si="3416">AVERAGE(F590,F642,F694)</f>
        <v>868</v>
      </c>
    </row>
    <row r="747" spans="1:12" ht="14.25" x14ac:dyDescent="0.2">
      <c r="A747" s="21">
        <f t="shared" ref="A747:A791" si="3417">7+A746</f>
        <v>43820</v>
      </c>
      <c r="B747" s="65">
        <v>147</v>
      </c>
      <c r="C747" s="65">
        <v>52</v>
      </c>
      <c r="D747" s="65">
        <v>119</v>
      </c>
      <c r="E747" s="48">
        <f t="shared" si="3291"/>
        <v>318</v>
      </c>
      <c r="F747" s="52">
        <v>706</v>
      </c>
      <c r="G747" s="3">
        <f t="shared" ref="G747" si="3418">F747-E747</f>
        <v>388</v>
      </c>
      <c r="H747" s="49">
        <f t="shared" ref="H747" si="3419">(F747-F746)/F746</f>
        <v>3.0656934306569343E-2</v>
      </c>
      <c r="I747" s="58">
        <f t="shared" ref="I747" si="3420">(E747-E746)/E746</f>
        <v>-0.29801324503311261</v>
      </c>
      <c r="J747" s="30">
        <f t="shared" ref="J747" si="3421">E747-E746</f>
        <v>-135</v>
      </c>
      <c r="K747" s="62">
        <f t="shared" ref="K747" si="3422">(F747-F695)/F695</f>
        <v>-0.11306532663316583</v>
      </c>
      <c r="L747" s="48">
        <f t="shared" ref="L747" si="3423">AVERAGE(F591,F643,F695)</f>
        <v>818.66666666666663</v>
      </c>
    </row>
    <row r="748" spans="1:12" ht="14.25" x14ac:dyDescent="0.2">
      <c r="A748" s="21">
        <f t="shared" si="3417"/>
        <v>43827</v>
      </c>
      <c r="B748" s="65">
        <v>223</v>
      </c>
      <c r="C748" s="65">
        <v>12</v>
      </c>
      <c r="D748" s="65">
        <v>143</v>
      </c>
      <c r="E748" s="48">
        <f t="shared" si="3291"/>
        <v>378</v>
      </c>
      <c r="F748" s="52">
        <v>586</v>
      </c>
      <c r="G748" s="3">
        <f t="shared" ref="G748" si="3424">F748-E748</f>
        <v>208</v>
      </c>
      <c r="H748" s="49">
        <f t="shared" ref="H748:H753" si="3425">(F748-F747)/F747</f>
        <v>-0.16997167138810199</v>
      </c>
      <c r="I748" s="58">
        <f t="shared" ref="I748:I753" si="3426">(E748-E747)/E747</f>
        <v>0.18867924528301888</v>
      </c>
      <c r="J748" s="30">
        <f t="shared" ref="J748:J753" si="3427">E748-E747</f>
        <v>60</v>
      </c>
      <c r="K748" s="62">
        <f t="shared" ref="K748:K753" si="3428">(F748-F696)/F696</f>
        <v>-0.11077389984825493</v>
      </c>
      <c r="L748" s="48">
        <f t="shared" ref="L748:L753" si="3429">AVERAGE(F592,F644,F696)</f>
        <v>790.33333333333337</v>
      </c>
    </row>
    <row r="749" spans="1:12" ht="14.25" x14ac:dyDescent="0.2">
      <c r="A749" s="21">
        <f t="shared" si="3417"/>
        <v>43834</v>
      </c>
      <c r="B749" s="65">
        <v>217</v>
      </c>
      <c r="C749" s="65">
        <v>50</v>
      </c>
      <c r="D749" s="65">
        <v>86</v>
      </c>
      <c r="E749" s="48">
        <f t="shared" si="3291"/>
        <v>353</v>
      </c>
      <c r="F749" s="52">
        <v>688</v>
      </c>
      <c r="G749" s="3">
        <f t="shared" ref="G749" si="3430">F749-E749</f>
        <v>335</v>
      </c>
      <c r="H749" s="49">
        <f t="shared" si="3425"/>
        <v>0.17406143344709898</v>
      </c>
      <c r="I749" s="58">
        <f t="shared" si="3426"/>
        <v>-6.6137566137566134E-2</v>
      </c>
      <c r="J749" s="30">
        <f t="shared" si="3427"/>
        <v>-25</v>
      </c>
      <c r="K749" s="62">
        <f t="shared" si="3428"/>
        <v>0.15824915824915825</v>
      </c>
      <c r="L749" s="48">
        <f t="shared" si="3429"/>
        <v>694.33333333333337</v>
      </c>
    </row>
    <row r="750" spans="1:12" ht="14.25" x14ac:dyDescent="0.2">
      <c r="A750" s="21">
        <f t="shared" si="3417"/>
        <v>43841</v>
      </c>
      <c r="B750" s="65">
        <v>161</v>
      </c>
      <c r="C750" s="65">
        <v>26</v>
      </c>
      <c r="D750" s="65">
        <v>138</v>
      </c>
      <c r="E750" s="48">
        <f t="shared" si="3291"/>
        <v>325</v>
      </c>
      <c r="F750" s="52">
        <v>807</v>
      </c>
      <c r="G750" s="3">
        <f t="shared" ref="G750" si="3431">F750-E750</f>
        <v>482</v>
      </c>
      <c r="H750" s="49">
        <f t="shared" si="3425"/>
        <v>0.17296511627906977</v>
      </c>
      <c r="I750" s="58">
        <f t="shared" si="3426"/>
        <v>-7.9320113314447591E-2</v>
      </c>
      <c r="J750" s="30">
        <f t="shared" si="3427"/>
        <v>-28</v>
      </c>
      <c r="K750" s="62">
        <f t="shared" si="3428"/>
        <v>1.6372795969773299E-2</v>
      </c>
      <c r="L750" s="48">
        <f t="shared" si="3429"/>
        <v>791.66666666666663</v>
      </c>
    </row>
    <row r="751" spans="1:12" ht="14.25" x14ac:dyDescent="0.2">
      <c r="A751" s="21">
        <f t="shared" si="3417"/>
        <v>43848</v>
      </c>
      <c r="B751" s="3">
        <v>211</v>
      </c>
      <c r="C751" s="3">
        <v>14</v>
      </c>
      <c r="D751" s="3">
        <v>127</v>
      </c>
      <c r="E751" s="48">
        <f t="shared" si="3291"/>
        <v>352</v>
      </c>
      <c r="F751" s="52">
        <v>621</v>
      </c>
      <c r="G751" s="3">
        <f t="shared" ref="G751" si="3432">F751-E751</f>
        <v>269</v>
      </c>
      <c r="H751" s="49">
        <f t="shared" si="3425"/>
        <v>-0.23048327137546468</v>
      </c>
      <c r="I751" s="58">
        <f t="shared" si="3426"/>
        <v>8.3076923076923076E-2</v>
      </c>
      <c r="J751" s="30">
        <f t="shared" si="3427"/>
        <v>27</v>
      </c>
      <c r="K751" s="62">
        <f t="shared" si="3428"/>
        <v>-0.11412268188302425</v>
      </c>
      <c r="L751" s="48">
        <f t="shared" si="3429"/>
        <v>707.66666666666663</v>
      </c>
    </row>
    <row r="752" spans="1:12" ht="14.25" x14ac:dyDescent="0.2">
      <c r="A752" s="21">
        <f t="shared" si="3417"/>
        <v>43855</v>
      </c>
      <c r="B752" s="3">
        <v>124</v>
      </c>
      <c r="C752" s="3">
        <v>19</v>
      </c>
      <c r="D752" s="3">
        <v>143</v>
      </c>
      <c r="E752" s="48">
        <f t="shared" si="3291"/>
        <v>286</v>
      </c>
      <c r="F752" s="52">
        <v>705</v>
      </c>
      <c r="G752" s="3">
        <f t="shared" ref="G752" si="3433">F752-E752</f>
        <v>419</v>
      </c>
      <c r="H752" s="49">
        <f t="shared" si="3425"/>
        <v>0.13526570048309178</v>
      </c>
      <c r="I752" s="58">
        <f t="shared" si="3426"/>
        <v>-0.1875</v>
      </c>
      <c r="J752" s="30">
        <f t="shared" si="3427"/>
        <v>-66</v>
      </c>
      <c r="K752" s="62">
        <f t="shared" si="3428"/>
        <v>-0.14129110840438489</v>
      </c>
      <c r="L752" s="48">
        <f t="shared" si="3429"/>
        <v>869.66666666666663</v>
      </c>
    </row>
    <row r="753" spans="1:12" ht="14.25" x14ac:dyDescent="0.2">
      <c r="A753" s="21">
        <f t="shared" si="3417"/>
        <v>43862</v>
      </c>
      <c r="B753" s="3">
        <v>193</v>
      </c>
      <c r="C753" s="3">
        <v>25</v>
      </c>
      <c r="D753" s="3">
        <v>117</v>
      </c>
      <c r="E753" s="3">
        <f t="shared" si="3291"/>
        <v>335</v>
      </c>
      <c r="F753" s="52">
        <v>582</v>
      </c>
      <c r="G753" s="3">
        <f t="shared" ref="G753" si="3434">F753-E753</f>
        <v>247</v>
      </c>
      <c r="H753" s="49">
        <f t="shared" si="3425"/>
        <v>-0.17446808510638298</v>
      </c>
      <c r="I753" s="58">
        <f t="shared" si="3426"/>
        <v>0.17132867132867133</v>
      </c>
      <c r="J753" s="30">
        <f t="shared" si="3427"/>
        <v>49</v>
      </c>
      <c r="K753" s="62">
        <f t="shared" si="3428"/>
        <v>-0.32716763005780347</v>
      </c>
      <c r="L753" s="48">
        <f t="shared" si="3429"/>
        <v>908.66666666666663</v>
      </c>
    </row>
    <row r="754" spans="1:12" ht="14.25" x14ac:dyDescent="0.2">
      <c r="A754" s="21">
        <f t="shared" si="3417"/>
        <v>43869</v>
      </c>
      <c r="B754" s="3">
        <v>165</v>
      </c>
      <c r="C754" s="3">
        <v>18</v>
      </c>
      <c r="D754" s="3">
        <v>115</v>
      </c>
      <c r="E754" s="3">
        <v>298</v>
      </c>
      <c r="F754" s="52">
        <v>611</v>
      </c>
      <c r="G754" s="3">
        <f t="shared" ref="G754" si="3435">F754-E754</f>
        <v>313</v>
      </c>
      <c r="H754" s="49">
        <f t="shared" ref="H754" si="3436">(F754-F753)/F753</f>
        <v>4.9828178694158079E-2</v>
      </c>
      <c r="I754" s="58">
        <f t="shared" ref="I754" si="3437">(E754-E753)/E753</f>
        <v>-0.11044776119402985</v>
      </c>
      <c r="J754" s="30">
        <f t="shared" ref="J754" si="3438">E754-E753</f>
        <v>-37</v>
      </c>
      <c r="K754" s="62">
        <f t="shared" ref="K754" si="3439">(F754-F702)/F702</f>
        <v>-9.7244732576985422E-3</v>
      </c>
      <c r="L754" s="48">
        <f t="shared" ref="L754" si="3440">AVERAGE(F598,F650,F702)</f>
        <v>769.33333333333337</v>
      </c>
    </row>
    <row r="755" spans="1:12" ht="14.25" x14ac:dyDescent="0.2">
      <c r="A755" s="21">
        <f t="shared" si="3417"/>
        <v>43876</v>
      </c>
      <c r="B755" s="3">
        <v>208</v>
      </c>
      <c r="C755" s="3">
        <v>53</v>
      </c>
      <c r="D755" s="3">
        <v>113</v>
      </c>
      <c r="E755" s="3">
        <v>374</v>
      </c>
      <c r="F755" s="52">
        <v>659</v>
      </c>
      <c r="G755" s="3">
        <f t="shared" ref="G755" si="3441">F755-E755</f>
        <v>285</v>
      </c>
      <c r="H755" s="49">
        <f t="shared" ref="H755" si="3442">(F755-F754)/F754</f>
        <v>7.855973813420622E-2</v>
      </c>
      <c r="I755" s="58">
        <f t="shared" ref="I755" si="3443">(E755-E754)/E754</f>
        <v>0.25503355704697989</v>
      </c>
      <c r="J755" s="30">
        <f t="shared" ref="J755" si="3444">E755-E754</f>
        <v>76</v>
      </c>
      <c r="K755" s="62">
        <f t="shared" ref="K755" si="3445">(F755-F703)/F703</f>
        <v>-0.11424731182795698</v>
      </c>
      <c r="L755" s="48">
        <f t="shared" ref="L755" si="3446">AVERAGE(F599,F651,F703)</f>
        <v>725.66666666666663</v>
      </c>
    </row>
    <row r="756" spans="1:12" ht="14.25" x14ac:dyDescent="0.2">
      <c r="A756" s="21">
        <f t="shared" si="3417"/>
        <v>43883</v>
      </c>
      <c r="B756" s="3">
        <v>159</v>
      </c>
      <c r="C756" s="3">
        <v>39</v>
      </c>
      <c r="D756" s="3">
        <v>55</v>
      </c>
      <c r="E756" s="3">
        <v>253</v>
      </c>
      <c r="F756" s="52">
        <v>524</v>
      </c>
      <c r="G756" s="3">
        <f t="shared" ref="G756" si="3447">F756-E756</f>
        <v>271</v>
      </c>
      <c r="H756" s="49">
        <f t="shared" ref="H756" si="3448">(F756-F755)/F755</f>
        <v>-0.20485584218512898</v>
      </c>
      <c r="I756" s="58">
        <f t="shared" ref="I756" si="3449">(E756-E755)/E755</f>
        <v>-0.3235294117647059</v>
      </c>
      <c r="J756" s="30">
        <f t="shared" ref="J756" si="3450">E756-E755</f>
        <v>-121</v>
      </c>
      <c r="K756" s="62">
        <f t="shared" ref="K756" si="3451">(F756-F704)/F704</f>
        <v>-0.17219589257503951</v>
      </c>
      <c r="L756" s="48">
        <f t="shared" ref="L756" si="3452">AVERAGE(F600,F652,F704)</f>
        <v>749.33333333333337</v>
      </c>
    </row>
    <row r="757" spans="1:12" ht="14.25" x14ac:dyDescent="0.2">
      <c r="A757" s="21">
        <f t="shared" si="3417"/>
        <v>43890</v>
      </c>
      <c r="B757" s="3">
        <v>159</v>
      </c>
      <c r="C757" s="3">
        <v>39</v>
      </c>
      <c r="D757" s="3">
        <v>55</v>
      </c>
      <c r="E757" s="3">
        <v>263</v>
      </c>
      <c r="F757" s="52">
        <v>479</v>
      </c>
      <c r="G757" s="3">
        <f t="shared" ref="G757" si="3453">F757-E757</f>
        <v>216</v>
      </c>
      <c r="H757" s="49">
        <f t="shared" ref="H757" si="3454">(F757-F756)/F756</f>
        <v>-8.5877862595419852E-2</v>
      </c>
      <c r="I757" s="58">
        <f t="shared" ref="I757" si="3455">(E757-E756)/E756</f>
        <v>3.9525691699604744E-2</v>
      </c>
      <c r="J757" s="30">
        <f t="shared" ref="J757" si="3456">E757-E756</f>
        <v>10</v>
      </c>
      <c r="K757" s="62">
        <f t="shared" ref="K757" si="3457">(F757-F705)/F705</f>
        <v>-6.6276803118908378E-2</v>
      </c>
      <c r="L757" s="48">
        <f t="shared" ref="L757" si="3458">AVERAGE(F601,F653,F705)</f>
        <v>695.66666666666663</v>
      </c>
    </row>
    <row r="758" spans="1:12" ht="14.25" x14ac:dyDescent="0.2">
      <c r="A758" s="21">
        <f t="shared" si="3417"/>
        <v>43897</v>
      </c>
      <c r="B758" s="3">
        <v>201</v>
      </c>
      <c r="C758" s="3">
        <v>25</v>
      </c>
      <c r="D758" s="3">
        <v>105</v>
      </c>
      <c r="E758" s="3">
        <v>331</v>
      </c>
      <c r="F758" s="52">
        <v>526</v>
      </c>
      <c r="G758" s="3">
        <f t="shared" ref="G758" si="3459">F758-E758</f>
        <v>195</v>
      </c>
      <c r="H758" s="49">
        <f t="shared" ref="H758" si="3460">(F758-F757)/F757</f>
        <v>9.8121085594989568E-2</v>
      </c>
      <c r="I758" s="58">
        <f t="shared" ref="I758" si="3461">(E758-E757)/E757</f>
        <v>0.2585551330798479</v>
      </c>
      <c r="J758" s="30">
        <f t="shared" ref="J758" si="3462">E758-E757</f>
        <v>68</v>
      </c>
      <c r="K758" s="62">
        <f t="shared" ref="K758" si="3463">(F758-F706)/F706</f>
        <v>8.2304526748971193E-2</v>
      </c>
      <c r="L758" s="48">
        <f t="shared" ref="L758" si="3464">AVERAGE(F602,F654,F706)</f>
        <v>667.66666666666663</v>
      </c>
    </row>
    <row r="759" spans="1:12" ht="14.25" x14ac:dyDescent="0.2">
      <c r="A759" s="21">
        <f t="shared" si="3417"/>
        <v>43904</v>
      </c>
      <c r="B759" s="3">
        <v>212</v>
      </c>
      <c r="C759" s="3">
        <v>31</v>
      </c>
      <c r="D759" s="3">
        <v>103</v>
      </c>
      <c r="E759" s="3">
        <v>346</v>
      </c>
      <c r="F759" s="52">
        <v>562</v>
      </c>
      <c r="G759" s="3">
        <f t="shared" ref="G759" si="3465">F759-E759</f>
        <v>216</v>
      </c>
      <c r="H759" s="49">
        <f t="shared" ref="H759" si="3466">(F759-F758)/F758</f>
        <v>6.8441064638783272E-2</v>
      </c>
      <c r="I759" s="58">
        <f t="shared" ref="I759" si="3467">(E759-E758)/E758</f>
        <v>4.5317220543806644E-2</v>
      </c>
      <c r="J759" s="30">
        <f t="shared" ref="J759" si="3468">E759-E758</f>
        <v>15</v>
      </c>
      <c r="K759" s="62">
        <f t="shared" ref="K759" si="3469">(F759-F707)/F707</f>
        <v>0.20600858369098712</v>
      </c>
      <c r="L759" s="48">
        <f t="shared" ref="L759" si="3470">AVERAGE(F603,F655,F707)</f>
        <v>564</v>
      </c>
    </row>
    <row r="760" spans="1:12" ht="14.25" x14ac:dyDescent="0.2">
      <c r="A760" s="21">
        <f t="shared" si="3417"/>
        <v>43911</v>
      </c>
      <c r="B760" s="3">
        <v>173</v>
      </c>
      <c r="C760" s="3">
        <v>24</v>
      </c>
      <c r="D760" s="3">
        <v>76</v>
      </c>
      <c r="E760" s="3">
        <v>273</v>
      </c>
      <c r="F760" s="52">
        <v>561</v>
      </c>
      <c r="G760" s="3">
        <f t="shared" ref="G760" si="3471">F760-E760</f>
        <v>288</v>
      </c>
      <c r="H760" s="49">
        <f t="shared" ref="H760" si="3472">(F760-F759)/F759</f>
        <v>-1.7793594306049821E-3</v>
      </c>
      <c r="I760" s="58">
        <f t="shared" ref="I760" si="3473">(E760-E759)/E759</f>
        <v>-0.21098265895953758</v>
      </c>
      <c r="J760" s="30">
        <f t="shared" ref="J760" si="3474">E760-E759</f>
        <v>-73</v>
      </c>
      <c r="K760" s="62">
        <f t="shared" ref="K760" si="3475">(F760-F708)/F708</f>
        <v>-0.12888198757763975</v>
      </c>
      <c r="L760" s="48">
        <f t="shared" ref="L760" si="3476">AVERAGE(F604,F656,F708)</f>
        <v>665.66666666666663</v>
      </c>
    </row>
    <row r="761" spans="1:12" ht="14.25" x14ac:dyDescent="0.2">
      <c r="A761" s="21">
        <f t="shared" si="3417"/>
        <v>43918</v>
      </c>
      <c r="B761" s="3">
        <v>160</v>
      </c>
      <c r="C761" s="3">
        <v>22</v>
      </c>
      <c r="D761" s="3">
        <v>128</v>
      </c>
      <c r="E761" s="3">
        <v>310</v>
      </c>
      <c r="F761" s="52">
        <v>588</v>
      </c>
      <c r="G761" s="3">
        <f t="shared" ref="G761" si="3477">F761-E761</f>
        <v>278</v>
      </c>
      <c r="H761" s="49">
        <f t="shared" ref="H761" si="3478">(F761-F760)/F760</f>
        <v>4.8128342245989303E-2</v>
      </c>
      <c r="I761" s="58">
        <f t="shared" ref="I761" si="3479">(E761-E760)/E760</f>
        <v>0.13553113553113552</v>
      </c>
      <c r="J761" s="30">
        <f t="shared" ref="J761" si="3480">E761-E760</f>
        <v>37</v>
      </c>
      <c r="K761" s="62">
        <f t="shared" ref="K761" si="3481">(F761-F709)/F709</f>
        <v>-9.9540581929555894E-2</v>
      </c>
      <c r="L761" s="48">
        <f t="shared" ref="L761" si="3482">AVERAGE(F605,F657,F709)</f>
        <v>701</v>
      </c>
    </row>
    <row r="762" spans="1:12" ht="14.25" x14ac:dyDescent="0.2">
      <c r="A762" s="21">
        <f t="shared" si="3417"/>
        <v>43925</v>
      </c>
      <c r="B762" s="3">
        <v>191</v>
      </c>
      <c r="C762" s="3">
        <v>22</v>
      </c>
      <c r="D762" s="3">
        <v>54</v>
      </c>
      <c r="E762" s="3">
        <v>267</v>
      </c>
      <c r="F762" s="52">
        <v>634</v>
      </c>
      <c r="G762" s="3">
        <f t="shared" ref="G762" si="3483">F762-E762</f>
        <v>367</v>
      </c>
      <c r="H762" s="49">
        <f t="shared" ref="H762" si="3484">(F762-F761)/F761</f>
        <v>7.8231292517006806E-2</v>
      </c>
      <c r="I762" s="58">
        <f t="shared" ref="I762" si="3485">(E762-E761)/E761</f>
        <v>-0.13870967741935483</v>
      </c>
      <c r="J762" s="30">
        <f t="shared" ref="J762" si="3486">E762-E761</f>
        <v>-43</v>
      </c>
      <c r="K762" s="62">
        <f t="shared" ref="K762" si="3487">(F762-F710)/F710</f>
        <v>0.35181236673773986</v>
      </c>
      <c r="L762" s="48">
        <f t="shared" ref="L762" si="3488">AVERAGE(F606,F658,F710)</f>
        <v>638.33333333333337</v>
      </c>
    </row>
    <row r="763" spans="1:12" ht="14.25" x14ac:dyDescent="0.2">
      <c r="A763" s="21">
        <f t="shared" si="3417"/>
        <v>43932</v>
      </c>
      <c r="B763" s="3">
        <v>324</v>
      </c>
      <c r="C763" s="3">
        <v>36</v>
      </c>
      <c r="D763" s="3">
        <v>67</v>
      </c>
      <c r="E763" s="3">
        <v>427</v>
      </c>
      <c r="F763" s="52">
        <v>549</v>
      </c>
      <c r="G763" s="3">
        <f t="shared" ref="G763" si="3489">F763-E763</f>
        <v>122</v>
      </c>
      <c r="H763" s="49">
        <f t="shared" ref="H763" si="3490">(F763-F762)/F762</f>
        <v>-0.13406940063091483</v>
      </c>
      <c r="I763" s="58">
        <f t="shared" ref="I763" si="3491">(E763-E762)/E762</f>
        <v>0.59925093632958804</v>
      </c>
      <c r="J763" s="30">
        <f t="shared" ref="J763" si="3492">E763-E762</f>
        <v>160</v>
      </c>
      <c r="K763" s="62">
        <f t="shared" ref="K763" si="3493">(F763-F711)/F711</f>
        <v>4.7709923664122141E-2</v>
      </c>
      <c r="L763" s="48">
        <f t="shared" ref="L763" si="3494">AVERAGE(F607,F659,F711)</f>
        <v>640.33333333333337</v>
      </c>
    </row>
    <row r="764" spans="1:12" ht="14.25" x14ac:dyDescent="0.2">
      <c r="A764" s="21">
        <f t="shared" si="3417"/>
        <v>43939</v>
      </c>
      <c r="B764" s="3">
        <v>306</v>
      </c>
      <c r="C764" s="3">
        <v>12</v>
      </c>
      <c r="D764" s="3">
        <v>95</v>
      </c>
      <c r="E764" s="3">
        <v>413</v>
      </c>
      <c r="F764" s="52">
        <v>528</v>
      </c>
      <c r="G764" s="3">
        <f t="shared" ref="G764" si="3495">F764-E764</f>
        <v>115</v>
      </c>
      <c r="H764" s="49">
        <f t="shared" ref="H764" si="3496">(F764-F763)/F763</f>
        <v>-3.825136612021858E-2</v>
      </c>
      <c r="I764" s="58">
        <f t="shared" ref="I764" si="3497">(E764-E763)/E763</f>
        <v>-3.2786885245901641E-2</v>
      </c>
      <c r="J764" s="30">
        <f t="shared" ref="J764" si="3498">E764-E763</f>
        <v>-14</v>
      </c>
      <c r="K764" s="62">
        <f t="shared" ref="K764" si="3499">(F764-F712)/F712</f>
        <v>-0.14146341463414633</v>
      </c>
      <c r="L764" s="48">
        <f t="shared" ref="L764" si="3500">AVERAGE(F608,F660,F712)</f>
        <v>646.66666666666663</v>
      </c>
    </row>
    <row r="765" spans="1:12" ht="14.25" x14ac:dyDescent="0.2">
      <c r="A765" s="21">
        <f t="shared" si="3417"/>
        <v>43946</v>
      </c>
      <c r="B765" s="3">
        <v>327</v>
      </c>
      <c r="C765" s="3">
        <v>32</v>
      </c>
      <c r="D765" s="3">
        <v>60</v>
      </c>
      <c r="E765" s="3">
        <v>419</v>
      </c>
      <c r="F765" s="52">
        <v>613</v>
      </c>
      <c r="G765" s="3">
        <f t="shared" ref="G765" si="3501">F765-E765</f>
        <v>194</v>
      </c>
      <c r="H765" s="49">
        <f t="shared" ref="H765" si="3502">(F765-F764)/F764</f>
        <v>0.16098484848484848</v>
      </c>
      <c r="I765" s="58">
        <f t="shared" ref="I765" si="3503">(E765-E764)/E764</f>
        <v>1.4527845036319613E-2</v>
      </c>
      <c r="J765" s="30">
        <f t="shared" ref="J765" si="3504">E765-E764</f>
        <v>6</v>
      </c>
      <c r="K765" s="62">
        <f t="shared" ref="K765" si="3505">(F765-F713)/F713</f>
        <v>3.0252100840336135E-2</v>
      </c>
      <c r="L765" s="48">
        <f t="shared" ref="L765" si="3506">AVERAGE(F609,F661,F713)</f>
        <v>599.66666666666663</v>
      </c>
    </row>
    <row r="766" spans="1:12" ht="14.25" x14ac:dyDescent="0.2">
      <c r="A766" s="21">
        <f t="shared" si="3417"/>
        <v>43953</v>
      </c>
      <c r="B766" s="3">
        <v>420</v>
      </c>
      <c r="C766" s="3">
        <v>34</v>
      </c>
      <c r="D766" s="3">
        <v>80</v>
      </c>
      <c r="E766" s="3">
        <v>534</v>
      </c>
      <c r="F766" s="52">
        <v>605</v>
      </c>
      <c r="G766" s="3">
        <f t="shared" ref="G766" si="3507">F766-E766</f>
        <v>71</v>
      </c>
      <c r="H766" s="49">
        <f t="shared" ref="H766" si="3508">(F766-F765)/F765</f>
        <v>-1.3050570962479609E-2</v>
      </c>
      <c r="I766" s="58">
        <f t="shared" ref="I766" si="3509">(E766-E765)/E765</f>
        <v>0.27446300715990452</v>
      </c>
      <c r="J766" s="30">
        <f t="shared" ref="J766" si="3510">E766-E765</f>
        <v>115</v>
      </c>
      <c r="K766" s="62">
        <f t="shared" ref="K766" si="3511">(F766-F714)/F714</f>
        <v>8.2289803220035776E-2</v>
      </c>
      <c r="L766" s="48">
        <f t="shared" ref="L766" si="3512">AVERAGE(F610,F662,F714)</f>
        <v>585</v>
      </c>
    </row>
    <row r="767" spans="1:12" ht="14.25" x14ac:dyDescent="0.2">
      <c r="A767" s="21">
        <f t="shared" si="3417"/>
        <v>43960</v>
      </c>
      <c r="B767" s="3">
        <v>418</v>
      </c>
      <c r="C767" s="3">
        <v>28</v>
      </c>
      <c r="D767" s="3">
        <v>60</v>
      </c>
      <c r="E767" s="3">
        <v>506</v>
      </c>
      <c r="F767" s="52">
        <v>640</v>
      </c>
      <c r="G767" s="3">
        <f t="shared" ref="G767" si="3513">F767-E767</f>
        <v>134</v>
      </c>
      <c r="H767" s="49">
        <f t="shared" ref="H767" si="3514">(F767-F766)/F766</f>
        <v>5.7851239669421489E-2</v>
      </c>
      <c r="I767" s="58">
        <f t="shared" ref="I767" si="3515">(E767-E766)/E766</f>
        <v>-5.2434456928838954E-2</v>
      </c>
      <c r="J767" s="30">
        <f t="shared" ref="J767" si="3516">E767-E766</f>
        <v>-28</v>
      </c>
      <c r="K767" s="62">
        <f t="shared" ref="K767" si="3517">(F767-F715)/F715</f>
        <v>0.24756335282651071</v>
      </c>
      <c r="L767" s="48">
        <f t="shared" ref="L767" si="3518">AVERAGE(F611,F663,F715)</f>
        <v>597</v>
      </c>
    </row>
    <row r="768" spans="1:12" ht="14.25" x14ac:dyDescent="0.2">
      <c r="A768" s="21">
        <f t="shared" si="3417"/>
        <v>43967</v>
      </c>
      <c r="B768" s="3">
        <v>318</v>
      </c>
      <c r="C768" s="3">
        <v>54</v>
      </c>
      <c r="D768" s="3">
        <v>41</v>
      </c>
      <c r="E768" s="3">
        <v>413</v>
      </c>
      <c r="F768" s="52">
        <v>515</v>
      </c>
      <c r="G768" s="3">
        <f t="shared" ref="G768" si="3519">F768-E768</f>
        <v>102</v>
      </c>
      <c r="H768" s="49">
        <f t="shared" ref="H768" si="3520">(F768-F767)/F767</f>
        <v>-0.1953125</v>
      </c>
      <c r="I768" s="58">
        <f t="shared" ref="I768" si="3521">(E768-E767)/E767</f>
        <v>-0.18379446640316205</v>
      </c>
      <c r="J768" s="30">
        <f t="shared" ref="J768" si="3522">E768-E767</f>
        <v>-93</v>
      </c>
      <c r="K768" s="62">
        <f t="shared" ref="K768" si="3523">(F768-F716)/F716</f>
        <v>3.8986354775828458E-3</v>
      </c>
      <c r="L768" s="48">
        <f t="shared" ref="L768" si="3524">AVERAGE(F612,F664,F716)</f>
        <v>567</v>
      </c>
    </row>
    <row r="769" spans="1:12" ht="14.25" x14ac:dyDescent="0.2">
      <c r="A769" s="21">
        <f t="shared" si="3417"/>
        <v>43974</v>
      </c>
      <c r="B769" s="3">
        <v>458</v>
      </c>
      <c r="C769" s="3">
        <v>4</v>
      </c>
      <c r="D769" s="3">
        <v>38</v>
      </c>
      <c r="E769" s="3">
        <v>500</v>
      </c>
      <c r="F769" s="52">
        <v>646</v>
      </c>
      <c r="G769" s="3">
        <f t="shared" ref="G769" si="3525">F769-E769</f>
        <v>146</v>
      </c>
      <c r="H769" s="49">
        <f t="shared" ref="H769" si="3526">(F769-F768)/F768</f>
        <v>0.25436893203883493</v>
      </c>
      <c r="I769" s="58">
        <f t="shared" ref="I769" si="3527">(E769-E768)/E768</f>
        <v>0.21065375302663439</v>
      </c>
      <c r="J769" s="30">
        <f t="shared" ref="J769" si="3528">E769-E768</f>
        <v>87</v>
      </c>
      <c r="K769" s="62">
        <f t="shared" ref="K769" si="3529">(F769-F717)/F717</f>
        <v>0.49537037037037035</v>
      </c>
      <c r="L769" s="48">
        <f t="shared" ref="L769" si="3530">AVERAGE(F613,F665,F717)</f>
        <v>557.33333333333337</v>
      </c>
    </row>
    <row r="770" spans="1:12" ht="14.25" x14ac:dyDescent="0.2">
      <c r="A770" s="21">
        <f t="shared" si="3417"/>
        <v>43981</v>
      </c>
      <c r="B770" s="3">
        <v>415</v>
      </c>
      <c r="C770" s="3">
        <v>29</v>
      </c>
      <c r="D770" s="3">
        <v>44</v>
      </c>
      <c r="E770" s="3">
        <v>488</v>
      </c>
      <c r="F770" s="52">
        <v>615</v>
      </c>
      <c r="G770" s="3">
        <f t="shared" ref="G770" si="3531">F770-E770</f>
        <v>127</v>
      </c>
      <c r="H770" s="49">
        <f t="shared" ref="H770" si="3532">(F770-F769)/F769</f>
        <v>-4.7987616099071206E-2</v>
      </c>
      <c r="I770" s="58">
        <f t="shared" ref="I770" si="3533">(E770-E769)/E769</f>
        <v>-2.4E-2</v>
      </c>
      <c r="J770" s="30">
        <f t="shared" ref="J770" si="3534">E770-E769</f>
        <v>-12</v>
      </c>
      <c r="K770" s="62">
        <f t="shared" ref="K770" si="3535">(F770-F718)/F718</f>
        <v>0.38826185101580135</v>
      </c>
      <c r="L770" s="48">
        <f t="shared" ref="L770" si="3536">AVERAGE(F614,F666,F718)</f>
        <v>529.33333333333337</v>
      </c>
    </row>
    <row r="771" spans="1:12" ht="14.25" x14ac:dyDescent="0.2">
      <c r="A771" s="21">
        <f t="shared" si="3417"/>
        <v>43988</v>
      </c>
      <c r="B771" s="3">
        <v>479</v>
      </c>
      <c r="C771" s="3">
        <v>12</v>
      </c>
      <c r="D771" s="3">
        <v>26</v>
      </c>
      <c r="E771" s="3">
        <v>517</v>
      </c>
      <c r="F771" s="52">
        <v>670</v>
      </c>
      <c r="G771" s="3">
        <f t="shared" ref="G771" si="3537">F771-E771</f>
        <v>153</v>
      </c>
      <c r="H771" s="49">
        <f t="shared" ref="H771" si="3538">(F771-F770)/F770</f>
        <v>8.943089430894309E-2</v>
      </c>
      <c r="I771" s="58">
        <f t="shared" ref="I771" si="3539">(E771-E770)/E770</f>
        <v>5.9426229508196718E-2</v>
      </c>
      <c r="J771" s="30">
        <f t="shared" ref="J771" si="3540">E771-E770</f>
        <v>29</v>
      </c>
      <c r="K771" s="62">
        <f t="shared" ref="K771" si="3541">(F771-F719)/F719</f>
        <v>0.74934725848563966</v>
      </c>
      <c r="L771" s="48">
        <f t="shared" ref="L771" si="3542">AVERAGE(F615,F667,F719)</f>
        <v>586.66666666666663</v>
      </c>
    </row>
    <row r="772" spans="1:12" ht="14.25" x14ac:dyDescent="0.2">
      <c r="A772" s="21">
        <f t="shared" si="3417"/>
        <v>43995</v>
      </c>
      <c r="B772" s="3">
        <v>528</v>
      </c>
      <c r="C772" s="3">
        <v>42</v>
      </c>
      <c r="D772" s="3">
        <v>47</v>
      </c>
      <c r="E772" s="3">
        <v>617</v>
      </c>
      <c r="F772" s="52">
        <v>514</v>
      </c>
      <c r="G772" s="3">
        <f t="shared" ref="G772" si="3543">F772-E772</f>
        <v>-103</v>
      </c>
      <c r="H772" s="49">
        <f t="shared" ref="H772" si="3544">(F772-F771)/F771</f>
        <v>-0.23283582089552238</v>
      </c>
      <c r="I772" s="58">
        <f t="shared" ref="I772" si="3545">(E772-E771)/E771</f>
        <v>0.19342359767891681</v>
      </c>
      <c r="J772" s="30">
        <f t="shared" ref="J772" si="3546">E772-E771</f>
        <v>100</v>
      </c>
      <c r="K772" s="62">
        <f t="shared" ref="K772" si="3547">(F772-F720)/F720</f>
        <v>0.47277936962750716</v>
      </c>
      <c r="L772" s="48">
        <f t="shared" ref="L772" si="3548">AVERAGE(F616,F668,F720)</f>
        <v>506.66666666666669</v>
      </c>
    </row>
    <row r="773" spans="1:12" ht="14.25" x14ac:dyDescent="0.2">
      <c r="A773" s="21">
        <f t="shared" si="3417"/>
        <v>44002</v>
      </c>
      <c r="B773" s="3">
        <v>610</v>
      </c>
      <c r="C773" s="3">
        <v>57</v>
      </c>
      <c r="D773" s="3">
        <v>34</v>
      </c>
      <c r="E773" s="3">
        <v>701</v>
      </c>
      <c r="F773" s="52">
        <v>646</v>
      </c>
      <c r="G773" s="3">
        <f t="shared" ref="G773" si="3549">F773-E773</f>
        <v>-55</v>
      </c>
      <c r="H773" s="49">
        <f t="shared" ref="H773" si="3550">(F773-F772)/F772</f>
        <v>0.25680933852140075</v>
      </c>
      <c r="I773" s="58">
        <f t="shared" ref="I773" si="3551">(E773-E772)/E772</f>
        <v>0.13614262560777957</v>
      </c>
      <c r="J773" s="30">
        <f t="shared" ref="J773" si="3552">E773-E772</f>
        <v>84</v>
      </c>
      <c r="K773" s="62">
        <f t="shared" ref="K773" si="3553">(F773-F721)/F721</f>
        <v>1.4377358490566037</v>
      </c>
      <c r="L773" s="48">
        <f t="shared" ref="L773" si="3554">AVERAGE(F617,F669,F721)</f>
        <v>517</v>
      </c>
    </row>
    <row r="774" spans="1:12" ht="14.25" x14ac:dyDescent="0.2">
      <c r="A774" s="21">
        <f t="shared" si="3417"/>
        <v>44009</v>
      </c>
      <c r="B774" s="3">
        <v>521</v>
      </c>
      <c r="C774" s="3">
        <v>26</v>
      </c>
      <c r="D774" s="3">
        <v>20</v>
      </c>
      <c r="E774" s="3">
        <v>567</v>
      </c>
      <c r="F774" s="52">
        <v>629</v>
      </c>
      <c r="G774" s="3">
        <f t="shared" ref="G774" si="3555">F774-E774</f>
        <v>62</v>
      </c>
      <c r="H774" s="49">
        <f t="shared" ref="H774" si="3556">(F774-F773)/F773</f>
        <v>-2.6315789473684209E-2</v>
      </c>
      <c r="I774" s="58">
        <f t="shared" ref="I774" si="3557">(E774-E773)/E773</f>
        <v>-0.19115549215406563</v>
      </c>
      <c r="J774" s="30">
        <f t="shared" ref="J774" si="3558">E774-E773</f>
        <v>-134</v>
      </c>
      <c r="K774" s="62">
        <f t="shared" ref="K774" si="3559">(F774-F722)/F722</f>
        <v>0.68632707774798929</v>
      </c>
      <c r="L774" s="48">
        <f t="shared" ref="L774" si="3560">AVERAGE(F618,F670,F722)</f>
        <v>614.66666666666663</v>
      </c>
    </row>
    <row r="775" spans="1:12" ht="14.25" x14ac:dyDescent="0.2">
      <c r="A775" s="21">
        <f t="shared" si="3417"/>
        <v>44016</v>
      </c>
      <c r="B775" s="3">
        <v>302</v>
      </c>
      <c r="C775" s="3">
        <v>66</v>
      </c>
      <c r="D775" s="3">
        <v>52</v>
      </c>
      <c r="E775" s="3">
        <v>420</v>
      </c>
      <c r="F775" s="52">
        <v>635</v>
      </c>
      <c r="G775" s="3">
        <f t="shared" ref="G775" si="3561">F775-E775</f>
        <v>215</v>
      </c>
      <c r="H775" s="49">
        <f t="shared" ref="H775" si="3562">(F775-F774)/F774</f>
        <v>9.538950715421303E-3</v>
      </c>
      <c r="I775" s="58">
        <f t="shared" ref="I775" si="3563">(E775-E774)/E774</f>
        <v>-0.25925925925925924</v>
      </c>
      <c r="J775" s="30">
        <f t="shared" ref="J775" si="3564">E775-E774</f>
        <v>-147</v>
      </c>
      <c r="K775" s="62">
        <f t="shared" ref="K775" si="3565">(F775-F723)/F723</f>
        <v>0.46313364055299538</v>
      </c>
      <c r="L775" s="48">
        <f t="shared" ref="L775" si="3566">AVERAGE(F619,F671,F723)</f>
        <v>584.66666666666663</v>
      </c>
    </row>
    <row r="776" spans="1:12" ht="14.25" x14ac:dyDescent="0.2">
      <c r="A776" s="21">
        <f t="shared" si="3417"/>
        <v>44023</v>
      </c>
      <c r="B776" s="3">
        <v>448</v>
      </c>
      <c r="C776" s="3">
        <v>27</v>
      </c>
      <c r="D776" s="3">
        <v>70</v>
      </c>
      <c r="E776" s="3">
        <v>545</v>
      </c>
      <c r="F776" s="52">
        <v>670</v>
      </c>
      <c r="G776" s="3">
        <f t="shared" ref="G776" si="3567">F776-E776</f>
        <v>125</v>
      </c>
      <c r="H776" s="49">
        <f t="shared" ref="H776" si="3568">(F776-F775)/F775</f>
        <v>5.5118110236220472E-2</v>
      </c>
      <c r="I776" s="58">
        <f t="shared" ref="I776" si="3569">(E776-E775)/E775</f>
        <v>0.29761904761904762</v>
      </c>
      <c r="J776" s="30">
        <f t="shared" ref="J776" si="3570">E776-E775</f>
        <v>125</v>
      </c>
      <c r="K776" s="62">
        <f t="shared" ref="K776" si="3571">(F776-F724)/F724</f>
        <v>1.2408026755852843</v>
      </c>
      <c r="L776" s="48">
        <f t="shared" ref="L776" si="3572">AVERAGE(F620,F672,F724)</f>
        <v>583</v>
      </c>
    </row>
    <row r="777" spans="1:12" ht="14.25" x14ac:dyDescent="0.2">
      <c r="A777" s="21">
        <f t="shared" si="3417"/>
        <v>44030</v>
      </c>
      <c r="B777" s="3">
        <v>379</v>
      </c>
      <c r="C777" s="3">
        <v>49</v>
      </c>
      <c r="D777" s="3">
        <v>51</v>
      </c>
      <c r="E777" s="3">
        <v>479</v>
      </c>
      <c r="F777" s="52">
        <v>590</v>
      </c>
      <c r="G777" s="3">
        <f t="shared" ref="G777" si="3573">F777-E777</f>
        <v>111</v>
      </c>
      <c r="H777" s="49">
        <f t="shared" ref="H777" si="3574">(F777-F776)/F776</f>
        <v>-0.11940298507462686</v>
      </c>
      <c r="I777" s="58">
        <f t="shared" ref="I777" si="3575">(E777-E776)/E776</f>
        <v>-0.12110091743119267</v>
      </c>
      <c r="J777" s="30">
        <f t="shared" ref="J777" si="3576">E777-E776</f>
        <v>-66</v>
      </c>
      <c r="K777" s="62">
        <f t="shared" ref="K777" si="3577">(F777-F725)/F725</f>
        <v>0.42168674698795183</v>
      </c>
      <c r="L777" s="48">
        <f t="shared" ref="L777" si="3578">AVERAGE(F621,F673,F725)</f>
        <v>634.66666666666663</v>
      </c>
    </row>
    <row r="778" spans="1:12" ht="14.25" x14ac:dyDescent="0.2">
      <c r="A778" s="21">
        <f t="shared" si="3417"/>
        <v>44037</v>
      </c>
      <c r="B778" s="3">
        <v>455</v>
      </c>
      <c r="C778" s="3">
        <v>19</v>
      </c>
      <c r="D778" s="3">
        <v>51</v>
      </c>
      <c r="E778" s="3">
        <v>525</v>
      </c>
      <c r="F778" s="52">
        <v>535</v>
      </c>
      <c r="G778" s="3">
        <f t="shared" ref="G778" si="3579">F778-E778</f>
        <v>10</v>
      </c>
      <c r="H778" s="49">
        <f t="shared" ref="H778" si="3580">(F778-F777)/F777</f>
        <v>-9.3220338983050849E-2</v>
      </c>
      <c r="I778" s="58">
        <f t="shared" ref="I778" si="3581">(E778-E777)/E777</f>
        <v>9.6033402922755737E-2</v>
      </c>
      <c r="J778" s="30">
        <f t="shared" ref="J778" si="3582">E778-E777</f>
        <v>46</v>
      </c>
      <c r="K778" s="62">
        <f t="shared" ref="K778" si="3583">(F778-F726)/F726</f>
        <v>-9.3220338983050849E-2</v>
      </c>
      <c r="L778" s="48">
        <f t="shared" ref="L778" si="3584">AVERAGE(F622,F674,F726)</f>
        <v>717.66666666666663</v>
      </c>
    </row>
    <row r="779" spans="1:12" ht="14.25" x14ac:dyDescent="0.2">
      <c r="A779" s="21">
        <f t="shared" si="3417"/>
        <v>44044</v>
      </c>
      <c r="B779" s="3">
        <v>441</v>
      </c>
      <c r="C779" s="3">
        <v>33</v>
      </c>
      <c r="D779" s="3">
        <v>83</v>
      </c>
      <c r="E779" s="3">
        <v>557</v>
      </c>
      <c r="F779" s="52">
        <v>616</v>
      </c>
      <c r="G779" s="3">
        <f t="shared" ref="G779" si="3585">F779-E779</f>
        <v>59</v>
      </c>
      <c r="H779" s="49">
        <f t="shared" ref="H779" si="3586">(F779-F778)/F778</f>
        <v>0.15140186915887852</v>
      </c>
      <c r="I779" s="58">
        <f t="shared" ref="I779" si="3587">(E779-E778)/E778</f>
        <v>6.0952380952380952E-2</v>
      </c>
      <c r="J779" s="30">
        <f t="shared" ref="J779" si="3588">E779-E778</f>
        <v>32</v>
      </c>
      <c r="K779" s="62">
        <f t="shared" ref="K779" si="3589">(F779-F727)/F727</f>
        <v>-6.6666666666666666E-2</v>
      </c>
      <c r="L779" s="48">
        <f t="shared" ref="L779" si="3590">AVERAGE(F623,F675,F727)</f>
        <v>674.66666666666663</v>
      </c>
    </row>
    <row r="780" spans="1:12" ht="14.25" x14ac:dyDescent="0.2">
      <c r="A780" s="21">
        <f t="shared" si="3417"/>
        <v>44051</v>
      </c>
      <c r="B780" s="3">
        <v>314</v>
      </c>
      <c r="C780" s="3">
        <v>26</v>
      </c>
      <c r="D780" s="3">
        <v>59</v>
      </c>
      <c r="E780" s="3">
        <v>399</v>
      </c>
      <c r="F780" s="52">
        <v>797</v>
      </c>
      <c r="G780" s="3">
        <f t="shared" ref="G780" si="3591">F780-E780</f>
        <v>398</v>
      </c>
      <c r="H780" s="49">
        <f t="shared" ref="H780" si="3592">(F780-F779)/F779</f>
        <v>0.29383116883116883</v>
      </c>
      <c r="I780" s="58">
        <f t="shared" ref="I780" si="3593">(E780-E779)/E779</f>
        <v>-0.28366247755834828</v>
      </c>
      <c r="J780" s="30">
        <f t="shared" ref="J780" si="3594">E780-E779</f>
        <v>-158</v>
      </c>
      <c r="K780" s="62">
        <f t="shared" ref="K780" si="3595">(F780-F728)/F728</f>
        <v>0.13049645390070921</v>
      </c>
      <c r="L780" s="48">
        <f t="shared" ref="L780" si="3596">AVERAGE(F624,F676,F728)</f>
        <v>657.33333333333337</v>
      </c>
    </row>
    <row r="781" spans="1:12" ht="14.25" x14ac:dyDescent="0.2">
      <c r="A781" s="21">
        <f t="shared" si="3417"/>
        <v>44058</v>
      </c>
      <c r="B781" s="3">
        <v>457</v>
      </c>
      <c r="C781" s="3">
        <v>37</v>
      </c>
      <c r="D781" s="3">
        <v>84</v>
      </c>
      <c r="E781" s="3">
        <v>578</v>
      </c>
      <c r="F781" s="52">
        <v>734</v>
      </c>
      <c r="G781" s="3">
        <f t="shared" ref="G781" si="3597">F781-E781</f>
        <v>156</v>
      </c>
      <c r="H781" s="49">
        <f t="shared" ref="H781" si="3598">(F781-F780)/F780</f>
        <v>-7.9046424090338768E-2</v>
      </c>
      <c r="I781" s="58">
        <f t="shared" ref="I781" si="3599">(E781-E780)/E780</f>
        <v>0.44862155388471175</v>
      </c>
      <c r="J781" s="30">
        <f t="shared" ref="J781" si="3600">E781-E780</f>
        <v>179</v>
      </c>
      <c r="K781" s="62">
        <f t="shared" ref="K781" si="3601">(F781-F729)/F729</f>
        <v>7.6246334310850442E-2</v>
      </c>
      <c r="L781" s="48">
        <f t="shared" ref="L781" si="3602">AVERAGE(F625,F677,F729)</f>
        <v>696.66666666666663</v>
      </c>
    </row>
    <row r="782" spans="1:12" ht="14.25" x14ac:dyDescent="0.2">
      <c r="A782" s="21">
        <f t="shared" si="3417"/>
        <v>44065</v>
      </c>
      <c r="B782" s="3">
        <v>522</v>
      </c>
      <c r="C782" s="3">
        <v>21</v>
      </c>
      <c r="D782" s="3">
        <v>41</v>
      </c>
      <c r="E782" s="3">
        <v>584</v>
      </c>
      <c r="F782" s="52">
        <v>680</v>
      </c>
      <c r="G782" s="3">
        <f t="shared" ref="G782" si="3603">F782-E782</f>
        <v>96</v>
      </c>
      <c r="H782" s="49">
        <f t="shared" ref="H782" si="3604">(F782-F781)/F781</f>
        <v>-7.3569482288828342E-2</v>
      </c>
      <c r="I782" s="58">
        <f t="shared" ref="I782" si="3605">(E782-E781)/E781</f>
        <v>1.0380622837370242E-2</v>
      </c>
      <c r="J782" s="30">
        <f t="shared" ref="J782" si="3606">E782-E781</f>
        <v>6</v>
      </c>
      <c r="K782" s="62">
        <f t="shared" ref="K782" si="3607">(F782-F730)/F730</f>
        <v>0.13522537562604339</v>
      </c>
      <c r="L782" s="48">
        <f t="shared" ref="L782" si="3608">AVERAGE(F626,F678,F730)</f>
        <v>670.33333333333337</v>
      </c>
    </row>
    <row r="783" spans="1:12" ht="14.25" x14ac:dyDescent="0.2">
      <c r="A783" s="21">
        <f t="shared" si="3417"/>
        <v>44072</v>
      </c>
      <c r="B783" s="3">
        <v>400</v>
      </c>
      <c r="C783" s="3">
        <v>26</v>
      </c>
      <c r="D783" s="3">
        <v>55</v>
      </c>
      <c r="E783" s="3">
        <v>481</v>
      </c>
      <c r="F783" s="52">
        <v>433</v>
      </c>
      <c r="G783" s="3">
        <f t="shared" ref="G783" si="3609">F783-E783</f>
        <v>-48</v>
      </c>
      <c r="H783" s="49">
        <f t="shared" ref="H783" si="3610">(F783-F782)/F782</f>
        <v>-0.36323529411764705</v>
      </c>
      <c r="I783" s="58">
        <f t="shared" ref="I783" si="3611">(E783-E782)/E782</f>
        <v>-0.17636986301369864</v>
      </c>
      <c r="J783" s="30">
        <f t="shared" ref="J783" si="3612">E783-E782</f>
        <v>-103</v>
      </c>
      <c r="K783" s="62">
        <f t="shared" ref="K783" si="3613">(F783-F731)/F731</f>
        <v>-0.32554517133956384</v>
      </c>
      <c r="L783" s="48">
        <f t="shared" ref="L783" si="3614">AVERAGE(F627,F679,F731)</f>
        <v>667.66666666666663</v>
      </c>
    </row>
    <row r="784" spans="1:12" ht="14.25" x14ac:dyDescent="0.2">
      <c r="A784" s="21">
        <f t="shared" si="3417"/>
        <v>44079</v>
      </c>
      <c r="B784" s="3">
        <v>425</v>
      </c>
      <c r="C784" s="3">
        <v>27</v>
      </c>
      <c r="D784" s="3">
        <v>58</v>
      </c>
      <c r="E784" s="3">
        <v>510</v>
      </c>
      <c r="F784" s="52">
        <v>824</v>
      </c>
      <c r="G784" s="3">
        <f t="shared" ref="G784" si="3615">F784-E784</f>
        <v>314</v>
      </c>
      <c r="H784" s="49">
        <f t="shared" ref="H784" si="3616">(F784-F783)/F783</f>
        <v>0.90300230946882221</v>
      </c>
      <c r="I784" s="58">
        <f t="shared" ref="I784" si="3617">(E784-E783)/E783</f>
        <v>6.0291060291060294E-2</v>
      </c>
      <c r="J784" s="30">
        <f t="shared" ref="J784" si="3618">E784-E783</f>
        <v>29</v>
      </c>
      <c r="K784" s="62">
        <f t="shared" ref="K784" si="3619">(F784-F732)/F732</f>
        <v>0.21354933726067746</v>
      </c>
      <c r="L784" s="48">
        <f t="shared" ref="L784" si="3620">AVERAGE(F628,F680,F732)</f>
        <v>750.66666666666663</v>
      </c>
    </row>
    <row r="785" spans="1:12" ht="14.25" x14ac:dyDescent="0.2">
      <c r="A785" s="21">
        <f t="shared" si="3417"/>
        <v>44086</v>
      </c>
      <c r="B785" s="3">
        <v>447</v>
      </c>
      <c r="C785" s="3">
        <v>32</v>
      </c>
      <c r="D785" s="3">
        <v>35</v>
      </c>
      <c r="E785" s="3">
        <v>514</v>
      </c>
      <c r="F785" s="52">
        <v>912</v>
      </c>
      <c r="G785" s="3">
        <f t="shared" ref="G785" si="3621">F785-E785</f>
        <v>398</v>
      </c>
      <c r="H785" s="49">
        <f t="shared" ref="H785" si="3622">(F785-F784)/F784</f>
        <v>0.10679611650485436</v>
      </c>
      <c r="I785" s="58">
        <f t="shared" ref="I785" si="3623">(E785-E784)/E784</f>
        <v>7.8431372549019607E-3</v>
      </c>
      <c r="J785" s="30">
        <f t="shared" ref="J785" si="3624">E785-E784</f>
        <v>4</v>
      </c>
      <c r="K785" s="62">
        <f t="shared" ref="K785" si="3625">(F785-F733)/F733</f>
        <v>1.4385026737967914</v>
      </c>
      <c r="L785" s="48">
        <f t="shared" ref="L785" si="3626">AVERAGE(F629,F681,F733)</f>
        <v>628.33333333333337</v>
      </c>
    </row>
    <row r="786" spans="1:12" ht="14.25" x14ac:dyDescent="0.2">
      <c r="A786" s="21">
        <f t="shared" si="3417"/>
        <v>44093</v>
      </c>
      <c r="B786" s="3">
        <v>238</v>
      </c>
      <c r="C786" s="3">
        <v>25</v>
      </c>
      <c r="D786" s="3">
        <v>55</v>
      </c>
      <c r="E786" s="3">
        <v>318</v>
      </c>
      <c r="F786" s="52">
        <v>636</v>
      </c>
      <c r="G786" s="3">
        <f t="shared" ref="G786" si="3627">F786-E786</f>
        <v>318</v>
      </c>
      <c r="H786" s="49">
        <f t="shared" ref="H786" si="3628">(F786-F785)/F785</f>
        <v>-0.30263157894736842</v>
      </c>
      <c r="I786" s="58">
        <f t="shared" ref="I786" si="3629">(E786-E785)/E785</f>
        <v>-0.38132295719844356</v>
      </c>
      <c r="J786" s="30">
        <f t="shared" ref="J786" si="3630">E786-E785</f>
        <v>-196</v>
      </c>
      <c r="K786" s="62">
        <f t="shared" ref="K786" si="3631">(F786-F734)/F734</f>
        <v>1.1128775834658187E-2</v>
      </c>
      <c r="L786" s="48">
        <f t="shared" ref="L786" si="3632">AVERAGE(F630,F682,F734)</f>
        <v>709.66666666666663</v>
      </c>
    </row>
    <row r="787" spans="1:12" ht="14.25" x14ac:dyDescent="0.2">
      <c r="A787" s="21">
        <f t="shared" si="3417"/>
        <v>44100</v>
      </c>
      <c r="B787" s="3">
        <v>180</v>
      </c>
      <c r="C787" s="3">
        <v>10</v>
      </c>
      <c r="D787" s="3">
        <v>122</v>
      </c>
      <c r="E787" s="3">
        <v>312</v>
      </c>
      <c r="F787" s="52">
        <v>712</v>
      </c>
      <c r="G787" s="3">
        <f t="shared" ref="G787" si="3633">F787-E787</f>
        <v>400</v>
      </c>
      <c r="H787" s="49">
        <f t="shared" ref="H787" si="3634">(F787-F786)/F786</f>
        <v>0.11949685534591195</v>
      </c>
      <c r="I787" s="58">
        <f t="shared" ref="I787" si="3635">(E787-E786)/E786</f>
        <v>-1.8867924528301886E-2</v>
      </c>
      <c r="J787" s="30">
        <f t="shared" ref="J787" si="3636">E787-E786</f>
        <v>-6</v>
      </c>
      <c r="K787" s="62">
        <f t="shared" ref="K787" si="3637">(F787-F735)/F735</f>
        <v>4.552129221732746E-2</v>
      </c>
      <c r="L787" s="48">
        <f t="shared" ref="L787" si="3638">AVERAGE(F631,F683,F735)</f>
        <v>720.33333333333337</v>
      </c>
    </row>
    <row r="788" spans="1:12" ht="14.25" x14ac:dyDescent="0.2">
      <c r="A788" s="21">
        <f t="shared" si="3417"/>
        <v>44107</v>
      </c>
      <c r="B788" s="3">
        <v>336</v>
      </c>
      <c r="C788" s="3">
        <v>40</v>
      </c>
      <c r="D788" s="3">
        <v>138</v>
      </c>
      <c r="E788" s="3">
        <v>514</v>
      </c>
      <c r="F788" s="52">
        <v>913</v>
      </c>
      <c r="G788" s="3">
        <f t="shared" ref="G788" si="3639">F788-E788</f>
        <v>399</v>
      </c>
      <c r="H788" s="49">
        <f t="shared" ref="H788" si="3640">(F788-F787)/F787</f>
        <v>0.28230337078651685</v>
      </c>
      <c r="I788" s="58">
        <f t="shared" ref="I788" si="3641">(E788-E787)/E787</f>
        <v>0.64743589743589747</v>
      </c>
      <c r="J788" s="30">
        <f t="shared" ref="J788" si="3642">E788-E787</f>
        <v>202</v>
      </c>
      <c r="K788" s="62">
        <f t="shared" ref="K788" si="3643">(F788-F736)/F736</f>
        <v>0.36472346786248133</v>
      </c>
      <c r="L788" s="48">
        <f t="shared" ref="L788" si="3644">AVERAGE(F632,F684,F736)</f>
        <v>713.33333333333337</v>
      </c>
    </row>
    <row r="789" spans="1:12" ht="14.25" x14ac:dyDescent="0.2">
      <c r="A789" s="21">
        <f t="shared" si="3417"/>
        <v>44114</v>
      </c>
      <c r="B789" s="3">
        <v>303</v>
      </c>
      <c r="C789" s="3">
        <v>46</v>
      </c>
      <c r="D789" s="3">
        <v>126</v>
      </c>
      <c r="E789" s="3">
        <f>SUM(B789:D789)</f>
        <v>475</v>
      </c>
      <c r="F789" s="52">
        <v>759</v>
      </c>
      <c r="G789" s="3">
        <f t="shared" ref="G789" si="3645">F789-E789</f>
        <v>284</v>
      </c>
      <c r="H789" s="49">
        <f t="shared" ref="H789:H794" si="3646">(F789-F788)/F788</f>
        <v>-0.16867469879518071</v>
      </c>
      <c r="I789" s="58">
        <f t="shared" ref="I789" si="3647">(E789-E788)/E788</f>
        <v>-7.5875486381322951E-2</v>
      </c>
      <c r="J789" s="30">
        <f t="shared" ref="J789" si="3648">E789-E788</f>
        <v>-39</v>
      </c>
      <c r="K789" s="62">
        <f t="shared" ref="K789" si="3649">(F789-F737)/F737</f>
        <v>3.125E-2</v>
      </c>
      <c r="L789" s="48">
        <f t="shared" ref="L789" si="3650">AVERAGE(F633,F685,F737)</f>
        <v>781.66666666666663</v>
      </c>
    </row>
    <row r="790" spans="1:12" ht="14.25" x14ac:dyDescent="0.2">
      <c r="A790" s="21">
        <f t="shared" si="3417"/>
        <v>44121</v>
      </c>
      <c r="B790" s="3">
        <v>415</v>
      </c>
      <c r="C790" s="3">
        <v>41</v>
      </c>
      <c r="D790" s="3">
        <v>243</v>
      </c>
      <c r="E790" s="3">
        <v>699</v>
      </c>
      <c r="F790" s="52">
        <v>933</v>
      </c>
      <c r="G790" s="3">
        <f t="shared" ref="G790" si="3651">F790-E790</f>
        <v>234</v>
      </c>
      <c r="H790" s="49">
        <f t="shared" si="3646"/>
        <v>0.22924901185770752</v>
      </c>
      <c r="I790" s="58">
        <f t="shared" ref="I790" si="3652">(E790-E789)/E789</f>
        <v>0.47157894736842104</v>
      </c>
      <c r="J790" s="30">
        <f t="shared" ref="J790" si="3653">E790-E789</f>
        <v>224</v>
      </c>
      <c r="K790" s="62">
        <f t="shared" ref="K790" si="3654">(F790-F738)/F738</f>
        <v>0.16044776119402984</v>
      </c>
      <c r="L790" s="48">
        <f t="shared" ref="L790" si="3655">AVERAGE(F634,F686,F738)</f>
        <v>886</v>
      </c>
    </row>
    <row r="791" spans="1:12" ht="14.25" x14ac:dyDescent="0.2">
      <c r="A791" s="21">
        <f t="shared" si="3417"/>
        <v>44128</v>
      </c>
      <c r="B791" s="3">
        <v>585</v>
      </c>
      <c r="C791" s="3">
        <v>40</v>
      </c>
      <c r="D791" s="3">
        <v>132</v>
      </c>
      <c r="E791" s="3">
        <v>757</v>
      </c>
      <c r="F791" s="52">
        <v>982</v>
      </c>
      <c r="G791" s="3">
        <f t="shared" ref="G791" si="3656">F791-E791</f>
        <v>225</v>
      </c>
      <c r="H791" s="49">
        <f t="shared" si="3646"/>
        <v>5.2518756698821008E-2</v>
      </c>
      <c r="I791" s="58">
        <f t="shared" ref="I791" si="3657">(E791-E790)/E790</f>
        <v>8.2975679542203154E-2</v>
      </c>
      <c r="J791" s="30">
        <f t="shared" ref="J791" si="3658">E791-E790</f>
        <v>58</v>
      </c>
      <c r="K791" s="62">
        <f t="shared" ref="K791" si="3659">(F791-F739)/F739</f>
        <v>0.62314049586776854</v>
      </c>
      <c r="L791" s="48">
        <f t="shared" ref="L791" si="3660">AVERAGE(F635,F687,F739)</f>
        <v>721</v>
      </c>
    </row>
    <row r="792" spans="1:12" ht="14.25" x14ac:dyDescent="0.2">
      <c r="A792" s="21">
        <f t="shared" ref="A792:A1025" si="3661">7+A791</f>
        <v>44135</v>
      </c>
      <c r="B792" s="3">
        <v>391</v>
      </c>
      <c r="C792" s="3">
        <v>50</v>
      </c>
      <c r="D792" s="3">
        <v>153</v>
      </c>
      <c r="E792" s="3">
        <v>594</v>
      </c>
      <c r="F792" s="52">
        <v>718</v>
      </c>
      <c r="G792" s="3">
        <f t="shared" ref="G792" si="3662">F792-E792</f>
        <v>124</v>
      </c>
      <c r="H792" s="49">
        <f t="shared" si="3646"/>
        <v>-0.26883910386965376</v>
      </c>
      <c r="I792" s="58">
        <f t="shared" ref="I792:I797" si="3663">(E792-E791)/E791</f>
        <v>-0.21532364597093792</v>
      </c>
      <c r="J792" s="30">
        <f t="shared" ref="J792:J797" si="3664">E792-E791</f>
        <v>-163</v>
      </c>
      <c r="K792" s="62">
        <f t="shared" ref="K792:K797" si="3665">(F792-F740)/F740</f>
        <v>0.15619967793880837</v>
      </c>
      <c r="L792" s="48">
        <f t="shared" ref="L792:L797" si="3666">AVERAGE(F636,F688,F740)</f>
        <v>851.66666666666663</v>
      </c>
    </row>
    <row r="793" spans="1:12" ht="14.25" x14ac:dyDescent="0.2">
      <c r="A793" s="21">
        <f t="shared" si="3661"/>
        <v>44142</v>
      </c>
      <c r="B793" s="3">
        <v>428</v>
      </c>
      <c r="C793" s="3">
        <v>43</v>
      </c>
      <c r="D793" s="3">
        <v>137</v>
      </c>
      <c r="E793" s="3">
        <v>608</v>
      </c>
      <c r="F793" s="52">
        <v>949</v>
      </c>
      <c r="G793" s="3">
        <f t="shared" ref="G793" si="3667">F793-E793</f>
        <v>341</v>
      </c>
      <c r="H793" s="49">
        <f t="shared" si="3646"/>
        <v>0.32172701949860727</v>
      </c>
      <c r="I793" s="58">
        <f t="shared" si="3663"/>
        <v>2.3569023569023569E-2</v>
      </c>
      <c r="J793" s="30">
        <f t="shared" si="3664"/>
        <v>14</v>
      </c>
      <c r="K793" s="62">
        <f t="shared" si="3665"/>
        <v>0.21666666666666667</v>
      </c>
      <c r="L793" s="48">
        <f t="shared" si="3666"/>
        <v>859</v>
      </c>
    </row>
    <row r="794" spans="1:12" ht="14.25" x14ac:dyDescent="0.2">
      <c r="A794" s="21">
        <f t="shared" si="3661"/>
        <v>44149</v>
      </c>
      <c r="B794" s="3">
        <v>468</v>
      </c>
      <c r="C794" s="3">
        <v>48</v>
      </c>
      <c r="D794" s="3">
        <v>91</v>
      </c>
      <c r="E794" s="3">
        <v>607</v>
      </c>
      <c r="F794" s="52">
        <v>913</v>
      </c>
      <c r="G794" s="3">
        <f t="shared" ref="G794" si="3668">F794-E794</f>
        <v>306</v>
      </c>
      <c r="H794" s="49">
        <f t="shared" si="3646"/>
        <v>-3.7934668071654375E-2</v>
      </c>
      <c r="I794" s="58">
        <f t="shared" si="3663"/>
        <v>-1.6447368421052631E-3</v>
      </c>
      <c r="J794" s="30">
        <f t="shared" si="3664"/>
        <v>-1</v>
      </c>
      <c r="K794" s="62">
        <f t="shared" si="3665"/>
        <v>0.2438692098092643</v>
      </c>
      <c r="L794" s="48">
        <f t="shared" si="3666"/>
        <v>854</v>
      </c>
    </row>
    <row r="795" spans="1:12" ht="14.25" x14ac:dyDescent="0.2">
      <c r="A795" s="21">
        <f t="shared" si="3661"/>
        <v>44156</v>
      </c>
      <c r="B795" s="3">
        <v>572</v>
      </c>
      <c r="C795" s="3">
        <v>47</v>
      </c>
      <c r="D795" s="3">
        <v>176</v>
      </c>
      <c r="E795" s="3">
        <v>795</v>
      </c>
      <c r="F795" s="52">
        <v>990</v>
      </c>
      <c r="G795" s="3">
        <f t="shared" ref="G795" si="3669">F795-E795</f>
        <v>195</v>
      </c>
      <c r="H795" s="49">
        <f t="shared" ref="H795" si="3670">(F795-F794)/F794</f>
        <v>8.4337349397590355E-2</v>
      </c>
      <c r="I795" s="58">
        <f t="shared" si="3663"/>
        <v>0.30971993410214166</v>
      </c>
      <c r="J795" s="30">
        <f t="shared" si="3664"/>
        <v>188</v>
      </c>
      <c r="K795" s="62">
        <f t="shared" si="3665"/>
        <v>0.15789473684210525</v>
      </c>
      <c r="L795" s="48">
        <f t="shared" si="3666"/>
        <v>863</v>
      </c>
    </row>
    <row r="796" spans="1:12" ht="14.25" x14ac:dyDescent="0.2">
      <c r="A796" s="21">
        <f t="shared" si="3661"/>
        <v>44163</v>
      </c>
      <c r="B796" s="3">
        <v>545</v>
      </c>
      <c r="C796" s="3">
        <v>33</v>
      </c>
      <c r="D796" s="3">
        <v>129</v>
      </c>
      <c r="E796" s="3">
        <v>707</v>
      </c>
      <c r="F796" s="52">
        <v>979</v>
      </c>
      <c r="G796" s="3">
        <f t="shared" ref="G796" si="3671">F796-E796</f>
        <v>272</v>
      </c>
      <c r="H796" s="49">
        <f t="shared" ref="H796" si="3672">(F796-F795)/F795</f>
        <v>-1.1111111111111112E-2</v>
      </c>
      <c r="I796" s="58">
        <f t="shared" si="3663"/>
        <v>-0.11069182389937107</v>
      </c>
      <c r="J796" s="30">
        <f t="shared" si="3664"/>
        <v>-88</v>
      </c>
      <c r="K796" s="62">
        <f t="shared" si="3665"/>
        <v>0.45684523809523808</v>
      </c>
      <c r="L796" s="48">
        <f t="shared" si="3666"/>
        <v>812.66666666666663</v>
      </c>
    </row>
    <row r="797" spans="1:12" ht="14.25" x14ac:dyDescent="0.2">
      <c r="A797" s="21">
        <f t="shared" si="3661"/>
        <v>44170</v>
      </c>
      <c r="B797" s="3">
        <v>374</v>
      </c>
      <c r="C797" s="3">
        <v>23</v>
      </c>
      <c r="D797" s="3">
        <v>125</v>
      </c>
      <c r="E797" s="3">
        <v>522</v>
      </c>
      <c r="F797" s="52">
        <v>902</v>
      </c>
      <c r="G797" s="3">
        <f t="shared" ref="G797" si="3673">F797-E797</f>
        <v>380</v>
      </c>
      <c r="H797" s="49">
        <f t="shared" ref="H797" si="3674">(F797-F796)/F796</f>
        <v>-7.8651685393258425E-2</v>
      </c>
      <c r="I797" s="58">
        <f t="shared" si="3663"/>
        <v>-0.26166902404526166</v>
      </c>
      <c r="J797" s="30">
        <f t="shared" si="3664"/>
        <v>-185</v>
      </c>
      <c r="K797" s="62">
        <f t="shared" si="3665"/>
        <v>2.9680365296803651E-2</v>
      </c>
      <c r="L797" s="48">
        <f t="shared" si="3666"/>
        <v>780.66666666666663</v>
      </c>
    </row>
    <row r="798" spans="1:12" ht="14.25" x14ac:dyDescent="0.2">
      <c r="A798" s="21">
        <f t="shared" si="3661"/>
        <v>44177</v>
      </c>
      <c r="B798" s="3">
        <v>484</v>
      </c>
      <c r="C798" s="3">
        <v>31</v>
      </c>
      <c r="D798" s="3">
        <v>188</v>
      </c>
      <c r="E798" s="3">
        <v>703</v>
      </c>
      <c r="F798" s="67">
        <v>1022</v>
      </c>
      <c r="G798" s="3">
        <f t="shared" ref="G798" si="3675">F798-E798</f>
        <v>319</v>
      </c>
      <c r="H798" s="49">
        <f t="shared" ref="H798" si="3676">(F798-F797)/F797</f>
        <v>0.13303769401330376</v>
      </c>
      <c r="I798" s="58">
        <f t="shared" ref="I798" si="3677">(E798-E797)/E797</f>
        <v>0.34674329501915707</v>
      </c>
      <c r="J798" s="30">
        <f t="shared" ref="J798" si="3678">E798-E797</f>
        <v>181</v>
      </c>
      <c r="K798" s="62">
        <f t="shared" ref="K798" si="3679">(F798-F746)/F746</f>
        <v>0.49197080291970802</v>
      </c>
      <c r="L798" s="48">
        <f t="shared" ref="L798" si="3680">AVERAGE(F642,F694,F746)</f>
        <v>807.66666666666663</v>
      </c>
    </row>
    <row r="799" spans="1:12" ht="14.25" x14ac:dyDescent="0.2">
      <c r="A799" s="21">
        <f t="shared" si="3661"/>
        <v>44184</v>
      </c>
      <c r="B799" s="3">
        <v>386</v>
      </c>
      <c r="C799" s="3">
        <v>28</v>
      </c>
      <c r="D799" s="3">
        <v>203</v>
      </c>
      <c r="E799" s="3">
        <v>617</v>
      </c>
      <c r="F799" s="67">
        <v>1092</v>
      </c>
      <c r="G799" s="3">
        <f t="shared" ref="G799" si="3681">F799-E799</f>
        <v>475</v>
      </c>
      <c r="H799" s="49">
        <f t="shared" ref="H799" si="3682">(F799-F798)/F798</f>
        <v>6.8493150684931503E-2</v>
      </c>
      <c r="I799" s="58">
        <f t="shared" ref="I799" si="3683">(E799-E798)/E798</f>
        <v>-0.12233285917496443</v>
      </c>
      <c r="J799" s="30">
        <f t="shared" ref="J799" si="3684">E799-E798</f>
        <v>-86</v>
      </c>
      <c r="K799" s="62">
        <f t="shared" ref="K799" si="3685">(F799-F747)/F747</f>
        <v>0.54674220963172804</v>
      </c>
      <c r="L799" s="48">
        <f t="shared" ref="L799" si="3686">AVERAGE(F643,F695,F747)</f>
        <v>743.33333333333337</v>
      </c>
    </row>
    <row r="800" spans="1:12" ht="14.25" x14ac:dyDescent="0.2">
      <c r="A800" s="21">
        <f t="shared" si="3661"/>
        <v>44191</v>
      </c>
      <c r="B800" s="3">
        <v>398</v>
      </c>
      <c r="C800" s="3">
        <v>28</v>
      </c>
      <c r="D800" s="3">
        <v>153</v>
      </c>
      <c r="E800" s="3">
        <v>579</v>
      </c>
      <c r="F800" s="67">
        <v>919</v>
      </c>
      <c r="G800" s="3">
        <f t="shared" ref="G800" si="3687">F800-E800</f>
        <v>340</v>
      </c>
      <c r="H800" s="49">
        <f t="shared" ref="H800" si="3688">(F800-F799)/F799</f>
        <v>-0.15842490842490842</v>
      </c>
      <c r="I800" s="58">
        <f t="shared" ref="I800" si="3689">(E800-E799)/E799</f>
        <v>-6.1588330632090758E-2</v>
      </c>
      <c r="J800" s="30">
        <f t="shared" ref="J800" si="3690">E800-E799</f>
        <v>-38</v>
      </c>
      <c r="K800" s="62">
        <f t="shared" ref="K800" si="3691">(F800-F748)/F748</f>
        <v>0.56825938566552903</v>
      </c>
      <c r="L800" s="48">
        <f t="shared" ref="L800" si="3692">AVERAGE(F644,F696,F748)</f>
        <v>713.33333333333337</v>
      </c>
    </row>
    <row r="801" spans="1:12" ht="14.25" x14ac:dyDescent="0.2">
      <c r="A801" s="21">
        <f t="shared" si="3661"/>
        <v>44198</v>
      </c>
      <c r="B801" s="3">
        <v>260</v>
      </c>
      <c r="C801" s="3">
        <v>31</v>
      </c>
      <c r="D801" s="3">
        <v>226</v>
      </c>
      <c r="E801" s="3">
        <v>517</v>
      </c>
      <c r="F801" s="67">
        <v>1049</v>
      </c>
      <c r="G801" s="3">
        <f t="shared" ref="G801" si="3693">F801-E801</f>
        <v>532</v>
      </c>
      <c r="H801" s="49">
        <f t="shared" ref="H801" si="3694">(F801-F800)/F800</f>
        <v>0.14145810663764963</v>
      </c>
      <c r="I801" s="58">
        <f t="shared" ref="I801" si="3695">(E801-E800)/E800</f>
        <v>-0.10708117443868739</v>
      </c>
      <c r="J801" s="30">
        <f t="shared" ref="J801" si="3696">E801-E800</f>
        <v>-62</v>
      </c>
      <c r="K801" s="62">
        <f t="shared" ref="K801" si="3697">(F801-F749)/F749</f>
        <v>0.52470930232558144</v>
      </c>
      <c r="L801" s="48">
        <f t="shared" ref="L801" si="3698">AVERAGE(F645,F697,F749)</f>
        <v>699.33333333333337</v>
      </c>
    </row>
    <row r="802" spans="1:12" ht="14.25" x14ac:dyDescent="0.2">
      <c r="A802" s="21">
        <f t="shared" si="3661"/>
        <v>44205</v>
      </c>
      <c r="B802" s="3">
        <v>237</v>
      </c>
      <c r="C802" s="3">
        <v>26</v>
      </c>
      <c r="D802" s="3">
        <v>146</v>
      </c>
      <c r="E802" s="3">
        <v>409</v>
      </c>
      <c r="F802" s="67">
        <v>1058</v>
      </c>
      <c r="G802" s="3">
        <f t="shared" ref="G802" si="3699">F802-E802</f>
        <v>649</v>
      </c>
      <c r="H802" s="49">
        <f t="shared" ref="H802" si="3700">(F802-F801)/F801</f>
        <v>8.5795996186844616E-3</v>
      </c>
      <c r="I802" s="58">
        <f t="shared" ref="I802" si="3701">(E802-E801)/E801</f>
        <v>-0.20889748549323017</v>
      </c>
      <c r="J802" s="30">
        <f t="shared" ref="J802" si="3702">E802-E801</f>
        <v>-108</v>
      </c>
      <c r="K802" s="62">
        <f t="shared" ref="K802" si="3703">(F802-F750)/F750</f>
        <v>0.31102850061957871</v>
      </c>
      <c r="L802" s="48">
        <f t="shared" ref="L802" si="3704">AVERAGE(F646,F698,F750)</f>
        <v>782.66666666666663</v>
      </c>
    </row>
    <row r="803" spans="1:12" ht="14.25" x14ac:dyDescent="0.2">
      <c r="A803" s="21">
        <f t="shared" si="3661"/>
        <v>44212</v>
      </c>
      <c r="B803" s="3">
        <v>319</v>
      </c>
      <c r="C803" s="3">
        <v>51</v>
      </c>
      <c r="D803" s="3">
        <v>193</v>
      </c>
      <c r="E803" s="3">
        <v>563</v>
      </c>
      <c r="F803" s="67">
        <v>968</v>
      </c>
      <c r="G803" s="3">
        <f t="shared" ref="G803" si="3705">F803-E803</f>
        <v>405</v>
      </c>
      <c r="H803" s="49">
        <f t="shared" ref="H803" si="3706">(F803-F802)/F802</f>
        <v>-8.5066162570888462E-2</v>
      </c>
      <c r="I803" s="58">
        <f t="shared" ref="I803" si="3707">(E803-E802)/E802</f>
        <v>0.37652811735941322</v>
      </c>
      <c r="J803" s="30">
        <f t="shared" ref="J803" si="3708">E803-E802</f>
        <v>154</v>
      </c>
      <c r="K803" s="62">
        <f t="shared" ref="K803" si="3709">(F803-F751)/F751</f>
        <v>0.55877616747181968</v>
      </c>
      <c r="L803" s="48">
        <f t="shared" ref="L803" si="3710">AVERAGE(F647,F699,F751)</f>
        <v>628.66666666666663</v>
      </c>
    </row>
    <row r="804" spans="1:12" ht="14.25" x14ac:dyDescent="0.2">
      <c r="A804" s="21">
        <f t="shared" si="3661"/>
        <v>44219</v>
      </c>
      <c r="B804" s="3">
        <v>348</v>
      </c>
      <c r="C804" s="3">
        <v>32</v>
      </c>
      <c r="D804" s="3">
        <v>301</v>
      </c>
      <c r="E804" s="3">
        <f t="shared" ref="E804:E809" si="3711">SUM(B804:D804)</f>
        <v>681</v>
      </c>
      <c r="F804" s="67">
        <v>977</v>
      </c>
      <c r="G804" s="3">
        <f t="shared" ref="G804" si="3712">F804-E804</f>
        <v>296</v>
      </c>
      <c r="H804" s="49">
        <f t="shared" ref="H804" si="3713">(F804-F803)/F803</f>
        <v>9.2975206611570251E-3</v>
      </c>
      <c r="I804" s="58">
        <f t="shared" ref="I804" si="3714">(E804-E803)/E803</f>
        <v>0.20959147424511546</v>
      </c>
      <c r="J804" s="30">
        <f t="shared" ref="J804" si="3715">E804-E803</f>
        <v>118</v>
      </c>
      <c r="K804" s="62">
        <f t="shared" ref="K804" si="3716">(F804-F752)/F752</f>
        <v>0.38581560283687943</v>
      </c>
      <c r="L804" s="48">
        <f t="shared" ref="L804" si="3717">AVERAGE(F648,F700,F752)</f>
        <v>768.66666666666663</v>
      </c>
    </row>
    <row r="805" spans="1:12" ht="14.25" x14ac:dyDescent="0.2">
      <c r="A805" s="21">
        <f t="shared" si="3661"/>
        <v>44226</v>
      </c>
      <c r="B805" s="3">
        <v>284</v>
      </c>
      <c r="C805" s="3">
        <v>48</v>
      </c>
      <c r="D805" s="3">
        <v>286</v>
      </c>
      <c r="E805" s="3">
        <f t="shared" si="3711"/>
        <v>618</v>
      </c>
      <c r="F805" s="67">
        <v>894</v>
      </c>
      <c r="G805" s="3">
        <f t="shared" ref="G805" si="3718">F805-E805</f>
        <v>276</v>
      </c>
      <c r="H805" s="49">
        <f t="shared" ref="H805" si="3719">(F805-F804)/F804</f>
        <v>-8.4953940634595701E-2</v>
      </c>
      <c r="I805" s="58">
        <f t="shared" ref="I805" si="3720">(E805-E804)/E804</f>
        <v>-9.2511013215859028E-2</v>
      </c>
      <c r="J805" s="30">
        <f t="shared" ref="J805" si="3721">E805-E804</f>
        <v>-63</v>
      </c>
      <c r="K805" s="62">
        <f t="shared" ref="K805" si="3722">(F805-F753)/F753</f>
        <v>0.53608247422680411</v>
      </c>
      <c r="L805" s="48">
        <f t="shared" ref="L805" si="3723">AVERAGE(F649,F701,F753)</f>
        <v>787</v>
      </c>
    </row>
    <row r="806" spans="1:12" ht="14.25" x14ac:dyDescent="0.2">
      <c r="A806" s="21">
        <f t="shared" si="3661"/>
        <v>44233</v>
      </c>
      <c r="B806" s="3">
        <v>184</v>
      </c>
      <c r="C806" s="3">
        <v>20</v>
      </c>
      <c r="D806" s="3">
        <v>272</v>
      </c>
      <c r="E806" s="3">
        <f t="shared" si="3711"/>
        <v>476</v>
      </c>
      <c r="F806" s="67">
        <v>1046</v>
      </c>
      <c r="G806" s="3">
        <f t="shared" ref="G806" si="3724">F806-E806</f>
        <v>570</v>
      </c>
      <c r="H806" s="49">
        <f t="shared" ref="H806" si="3725">(F806-F805)/F805</f>
        <v>0.17002237136465326</v>
      </c>
      <c r="I806" s="58">
        <f t="shared" ref="I806" si="3726">(E806-E805)/E805</f>
        <v>-0.22977346278317151</v>
      </c>
      <c r="J806" s="30">
        <f t="shared" ref="J806" si="3727">E806-E805</f>
        <v>-142</v>
      </c>
      <c r="K806" s="62">
        <f t="shared" ref="K806" si="3728">(F806-F754)/F754</f>
        <v>0.71194762684124391</v>
      </c>
      <c r="L806" s="48">
        <f t="shared" ref="L806" si="3729">AVERAGE(F650,F702,F754)</f>
        <v>659.33333333333337</v>
      </c>
    </row>
    <row r="807" spans="1:12" ht="14.25" x14ac:dyDescent="0.2">
      <c r="A807" s="21">
        <f t="shared" si="3661"/>
        <v>44240</v>
      </c>
      <c r="B807" s="3">
        <v>114</v>
      </c>
      <c r="C807" s="3">
        <v>60</v>
      </c>
      <c r="D807" s="3">
        <v>229</v>
      </c>
      <c r="E807" s="3">
        <f t="shared" si="3711"/>
        <v>403</v>
      </c>
      <c r="F807" s="67">
        <v>777</v>
      </c>
      <c r="G807" s="3">
        <f t="shared" ref="G807" si="3730">F807-E807</f>
        <v>374</v>
      </c>
      <c r="H807" s="49">
        <f t="shared" ref="H807" si="3731">(F807-F806)/F806</f>
        <v>-0.25717017208413001</v>
      </c>
      <c r="I807" s="58">
        <f t="shared" ref="I807" si="3732">(E807-E806)/E806</f>
        <v>-0.15336134453781514</v>
      </c>
      <c r="J807" s="30">
        <f t="shared" ref="J807" si="3733">E807-E806</f>
        <v>-73</v>
      </c>
      <c r="K807" s="62">
        <f t="shared" ref="K807" si="3734">(F807-F755)/F755</f>
        <v>0.17905918057663125</v>
      </c>
      <c r="L807" s="48">
        <f t="shared" ref="L807" si="3735">AVERAGE(F651,F703,F755)</f>
        <v>649.33333333333337</v>
      </c>
    </row>
    <row r="808" spans="1:12" ht="14.25" x14ac:dyDescent="0.2">
      <c r="A808" s="21">
        <f t="shared" si="3661"/>
        <v>44247</v>
      </c>
      <c r="B808" s="3">
        <v>102</v>
      </c>
      <c r="C808" s="3">
        <v>10</v>
      </c>
      <c r="D808" s="3">
        <v>171</v>
      </c>
      <c r="E808" s="3">
        <f t="shared" si="3711"/>
        <v>283</v>
      </c>
      <c r="F808" s="67">
        <v>674</v>
      </c>
      <c r="G808" s="3">
        <f t="shared" ref="G808" si="3736">F808-E808</f>
        <v>391</v>
      </c>
      <c r="H808" s="49">
        <f t="shared" ref="H808" si="3737">(F808-F807)/F807</f>
        <v>-0.13256113256113256</v>
      </c>
      <c r="I808" s="58">
        <f t="shared" ref="I808" si="3738">(E808-E807)/E807</f>
        <v>-0.29776674937965258</v>
      </c>
      <c r="J808" s="30">
        <f t="shared" ref="J808" si="3739">E808-E807</f>
        <v>-120</v>
      </c>
      <c r="K808" s="62">
        <f t="shared" ref="K808" si="3740">(F808-F756)/F756</f>
        <v>0.2862595419847328</v>
      </c>
      <c r="L808" s="48">
        <f t="shared" ref="L808" si="3741">AVERAGE(F652,F704,F756)</f>
        <v>652.33333333333337</v>
      </c>
    </row>
    <row r="809" spans="1:12" ht="14.25" x14ac:dyDescent="0.2">
      <c r="A809" s="21">
        <f t="shared" si="3661"/>
        <v>44254</v>
      </c>
      <c r="B809" s="3">
        <v>144</v>
      </c>
      <c r="C809" s="3">
        <v>13</v>
      </c>
      <c r="D809" s="3">
        <v>110</v>
      </c>
      <c r="E809" s="3">
        <f t="shared" si="3711"/>
        <v>267</v>
      </c>
      <c r="F809" s="67">
        <v>779</v>
      </c>
      <c r="G809" s="3">
        <f t="shared" ref="G809" si="3742">F809-E809</f>
        <v>512</v>
      </c>
      <c r="H809" s="49">
        <f t="shared" ref="H809" si="3743">(F809-F808)/F808</f>
        <v>0.15578635014836795</v>
      </c>
      <c r="I809" s="58">
        <f t="shared" ref="I809" si="3744">(E809-E808)/E808</f>
        <v>-5.6537102473498232E-2</v>
      </c>
      <c r="J809" s="30">
        <f t="shared" ref="J809" si="3745">E809-E808</f>
        <v>-16</v>
      </c>
      <c r="K809" s="62">
        <f t="shared" ref="K809" si="3746">(F809-F757)/F757</f>
        <v>0.62630480167014613</v>
      </c>
      <c r="L809" s="48">
        <f t="shared" ref="L809" si="3747">AVERAGE(F653,F705,F757)</f>
        <v>581</v>
      </c>
    </row>
    <row r="810" spans="1:12" ht="14.25" x14ac:dyDescent="0.2">
      <c r="A810" s="21">
        <f t="shared" si="3661"/>
        <v>44261</v>
      </c>
      <c r="B810" s="3">
        <v>286</v>
      </c>
      <c r="C810" s="3">
        <v>28</v>
      </c>
      <c r="D810" s="3">
        <v>211</v>
      </c>
      <c r="E810" s="3">
        <f t="shared" ref="E810" si="3748">SUM(B810:D810)</f>
        <v>525</v>
      </c>
      <c r="F810" s="67">
        <v>857</v>
      </c>
      <c r="G810" s="3">
        <f t="shared" ref="G810" si="3749">F810-E810</f>
        <v>332</v>
      </c>
      <c r="H810" s="49">
        <f t="shared" ref="H810" si="3750">(F810-F809)/F809</f>
        <v>0.10012836970474968</v>
      </c>
      <c r="I810" s="58">
        <f t="shared" ref="I810" si="3751">(E810-E809)/E809</f>
        <v>0.9662921348314607</v>
      </c>
      <c r="J810" s="30">
        <f t="shared" ref="J810" si="3752">E810-E809</f>
        <v>258</v>
      </c>
      <c r="K810" s="62">
        <f t="shared" ref="K810" si="3753">(F810-F758)/F758</f>
        <v>0.62927756653992395</v>
      </c>
      <c r="L810" s="48">
        <f t="shared" ref="L810" si="3754">AVERAGE(F654,F706,F758)</f>
        <v>577.66666666666663</v>
      </c>
    </row>
    <row r="811" spans="1:12" ht="14.25" x14ac:dyDescent="0.2">
      <c r="A811" s="21">
        <f t="shared" si="3661"/>
        <v>44268</v>
      </c>
      <c r="B811" s="3">
        <v>301</v>
      </c>
      <c r="C811" s="3">
        <v>45</v>
      </c>
      <c r="D811" s="3">
        <v>166</v>
      </c>
      <c r="E811" s="3">
        <f t="shared" ref="E811" si="3755">SUM(B811:D811)</f>
        <v>512</v>
      </c>
      <c r="F811" s="67">
        <v>851</v>
      </c>
      <c r="G811" s="3">
        <f t="shared" ref="G811" si="3756">F811-E811</f>
        <v>339</v>
      </c>
      <c r="H811" s="49">
        <f t="shared" ref="H811" si="3757">(F811-F810)/F810</f>
        <v>-7.0011668611435242E-3</v>
      </c>
      <c r="I811" s="58">
        <f t="shared" ref="I811" si="3758">(E811-E810)/E810</f>
        <v>-2.4761904761904763E-2</v>
      </c>
      <c r="J811" s="30">
        <f t="shared" ref="J811" si="3759">E811-E810</f>
        <v>-13</v>
      </c>
      <c r="K811" s="62">
        <f t="shared" ref="K811" si="3760">(F811-F759)/F759</f>
        <v>0.51423487544483981</v>
      </c>
      <c r="L811" s="48">
        <f t="shared" ref="L811" si="3761">AVERAGE(F655,F707,F759)</f>
        <v>532.33333333333337</v>
      </c>
    </row>
    <row r="812" spans="1:12" ht="14.25" x14ac:dyDescent="0.2">
      <c r="A812" s="21">
        <f t="shared" si="3661"/>
        <v>44275</v>
      </c>
      <c r="B812" s="3">
        <v>265</v>
      </c>
      <c r="C812" s="3">
        <v>13</v>
      </c>
      <c r="D812" s="3">
        <v>185</v>
      </c>
      <c r="E812" s="3">
        <f t="shared" ref="E812" si="3762">SUM(B812:D812)</f>
        <v>463</v>
      </c>
      <c r="F812" s="67">
        <v>767</v>
      </c>
      <c r="G812" s="3">
        <f t="shared" ref="G812" si="3763">F812-E812</f>
        <v>304</v>
      </c>
      <c r="H812" s="49">
        <f t="shared" ref="H812" si="3764">(F812-F811)/F811</f>
        <v>-9.870740305522914E-2</v>
      </c>
      <c r="I812" s="58">
        <f t="shared" ref="I812" si="3765">(E812-E811)/E811</f>
        <v>-9.5703125E-2</v>
      </c>
      <c r="J812" s="30">
        <f t="shared" ref="J812" si="3766">E812-E811</f>
        <v>-49</v>
      </c>
      <c r="K812" s="62">
        <f t="shared" ref="K812" si="3767">(F812-F760)/F760</f>
        <v>0.36720142602495542</v>
      </c>
      <c r="L812" s="48">
        <f t="shared" ref="L812" si="3768">AVERAGE(F656,F708,F760)</f>
        <v>588.33333333333337</v>
      </c>
    </row>
    <row r="813" spans="1:12" ht="14.25" x14ac:dyDescent="0.2">
      <c r="A813" s="21">
        <f t="shared" si="3661"/>
        <v>44282</v>
      </c>
      <c r="B813" s="3">
        <v>348</v>
      </c>
      <c r="C813" s="3">
        <v>41</v>
      </c>
      <c r="D813" s="3">
        <v>137</v>
      </c>
      <c r="E813" s="3">
        <f t="shared" ref="E813" si="3769">SUM(B813:D813)</f>
        <v>526</v>
      </c>
      <c r="F813" s="67">
        <v>624</v>
      </c>
      <c r="G813" s="3">
        <f t="shared" ref="G813" si="3770">F813-E813</f>
        <v>98</v>
      </c>
      <c r="H813" s="49">
        <f t="shared" ref="H813" si="3771">(F813-F812)/F812</f>
        <v>-0.1864406779661017</v>
      </c>
      <c r="I813" s="58">
        <f t="shared" ref="I813" si="3772">(E813-E812)/E812</f>
        <v>0.13606911447084233</v>
      </c>
      <c r="J813" s="30">
        <f t="shared" ref="J813" si="3773">E813-E812</f>
        <v>63</v>
      </c>
      <c r="K813" s="62">
        <f t="shared" ref="K813" si="3774">(F813-F761)/F761</f>
        <v>6.1224489795918366E-2</v>
      </c>
      <c r="L813" s="48">
        <f t="shared" ref="L813" si="3775">AVERAGE(F657,F709,F761)</f>
        <v>617</v>
      </c>
    </row>
    <row r="814" spans="1:12" ht="14.25" x14ac:dyDescent="0.2">
      <c r="A814" s="21">
        <f t="shared" si="3661"/>
        <v>44289</v>
      </c>
      <c r="B814" s="3">
        <v>310</v>
      </c>
      <c r="C814" s="3">
        <v>10</v>
      </c>
      <c r="D814" s="3">
        <v>177</v>
      </c>
      <c r="E814" s="3">
        <f t="shared" ref="E814" si="3776">SUM(B814:D814)</f>
        <v>497</v>
      </c>
      <c r="F814" s="67">
        <v>699</v>
      </c>
      <c r="G814" s="3">
        <f t="shared" ref="G814" si="3777">F814-E814</f>
        <v>202</v>
      </c>
      <c r="H814" s="49">
        <f t="shared" ref="H814" si="3778">(F814-F813)/F813</f>
        <v>0.1201923076923077</v>
      </c>
      <c r="I814" s="58">
        <f t="shared" ref="I814" si="3779">(E814-E813)/E813</f>
        <v>-5.5133079847908745E-2</v>
      </c>
      <c r="J814" s="30">
        <f t="shared" ref="J814" si="3780">E814-E813</f>
        <v>-29</v>
      </c>
      <c r="K814" s="62">
        <f t="shared" ref="K814" si="3781">(F814-F762)/F762</f>
        <v>0.10252365930599369</v>
      </c>
      <c r="L814" s="48">
        <f t="shared" ref="L814" si="3782">AVERAGE(F658,F710,F762)</f>
        <v>631.66666666666663</v>
      </c>
    </row>
    <row r="815" spans="1:12" ht="14.25" x14ac:dyDescent="0.2">
      <c r="A815" s="21">
        <f t="shared" si="3661"/>
        <v>44296</v>
      </c>
      <c r="B815" s="3">
        <v>444</v>
      </c>
      <c r="C815" s="3">
        <v>44</v>
      </c>
      <c r="D815" s="3">
        <v>117</v>
      </c>
      <c r="E815" s="3">
        <f t="shared" ref="E815" si="3783">SUM(B815:D815)</f>
        <v>605</v>
      </c>
      <c r="F815" s="67">
        <v>644</v>
      </c>
      <c r="G815" s="3">
        <f t="shared" ref="G815" si="3784">F815-E815</f>
        <v>39</v>
      </c>
      <c r="H815" s="49">
        <f t="shared" ref="H815" si="3785">(F815-F814)/F814</f>
        <v>-7.8683834048640919E-2</v>
      </c>
      <c r="I815" s="58">
        <f t="shared" ref="I815" si="3786">(E815-E814)/E814</f>
        <v>0.21730382293762576</v>
      </c>
      <c r="J815" s="30">
        <f t="shared" ref="J815" si="3787">E815-E814</f>
        <v>108</v>
      </c>
      <c r="K815" s="62">
        <f t="shared" ref="K815" si="3788">(F815-F763)/F763</f>
        <v>0.17304189435336975</v>
      </c>
      <c r="L815" s="48">
        <f t="shared" ref="L815" si="3789">AVERAGE(F659,F711,F763)</f>
        <v>607</v>
      </c>
    </row>
    <row r="816" spans="1:12" ht="14.25" x14ac:dyDescent="0.2">
      <c r="A816" s="21">
        <f t="shared" si="3661"/>
        <v>44303</v>
      </c>
      <c r="B816" s="3">
        <v>415</v>
      </c>
      <c r="C816" s="3">
        <v>15</v>
      </c>
      <c r="D816" s="3">
        <v>75</v>
      </c>
      <c r="E816" s="3">
        <f t="shared" ref="E816" si="3790">SUM(B816:D816)</f>
        <v>505</v>
      </c>
      <c r="F816" s="67">
        <v>626</v>
      </c>
      <c r="G816" s="3">
        <f t="shared" ref="G816" si="3791">F816-E816</f>
        <v>121</v>
      </c>
      <c r="H816" s="49">
        <f t="shared" ref="H816" si="3792">(F816-F815)/F815</f>
        <v>-2.7950310559006212E-2</v>
      </c>
      <c r="I816" s="58">
        <f t="shared" ref="I816" si="3793">(E816-E815)/E815</f>
        <v>-0.16528925619834711</v>
      </c>
      <c r="J816" s="30">
        <f t="shared" ref="J816" si="3794">E816-E815</f>
        <v>-100</v>
      </c>
      <c r="K816" s="62">
        <f t="shared" ref="K816" si="3795">(F816-F764)/F764</f>
        <v>0.18560606060606061</v>
      </c>
      <c r="L816" s="48">
        <f t="shared" ref="L816" si="3796">AVERAGE(F660,F712,F764)</f>
        <v>617</v>
      </c>
    </row>
    <row r="817" spans="1:12" ht="14.25" x14ac:dyDescent="0.2">
      <c r="A817" s="21">
        <f t="shared" si="3661"/>
        <v>44310</v>
      </c>
      <c r="B817" s="3">
        <v>480</v>
      </c>
      <c r="C817" s="3">
        <v>42</v>
      </c>
      <c r="D817" s="3">
        <v>75</v>
      </c>
      <c r="E817" s="3">
        <f t="shared" ref="E817" si="3797">SUM(B817:D817)</f>
        <v>597</v>
      </c>
      <c r="F817" s="67">
        <v>729</v>
      </c>
      <c r="G817" s="3">
        <f t="shared" ref="G817" si="3798">F817-E817</f>
        <v>132</v>
      </c>
      <c r="H817" s="49">
        <f t="shared" ref="H817" si="3799">(F817-F816)/F816</f>
        <v>0.16453674121405751</v>
      </c>
      <c r="I817" s="58">
        <f t="shared" ref="I817" si="3800">(E817-E816)/E816</f>
        <v>0.18217821782178217</v>
      </c>
      <c r="J817" s="30">
        <f t="shared" ref="J817" si="3801">E817-E816</f>
        <v>92</v>
      </c>
      <c r="K817" s="62">
        <f t="shared" ref="K817" si="3802">(F817-F765)/F765</f>
        <v>0.18923327895595432</v>
      </c>
      <c r="L817" s="48">
        <f t="shared" ref="L817" si="3803">AVERAGE(F661,F713,F765)</f>
        <v>621.33333333333337</v>
      </c>
    </row>
    <row r="818" spans="1:12" ht="14.25" x14ac:dyDescent="0.2">
      <c r="A818" s="21">
        <f t="shared" si="3661"/>
        <v>44317</v>
      </c>
      <c r="B818" s="3">
        <v>350</v>
      </c>
      <c r="C818" s="3">
        <v>19</v>
      </c>
      <c r="D818" s="3">
        <v>69</v>
      </c>
      <c r="E818" s="3">
        <f t="shared" ref="E818" si="3804">SUM(B818:D818)</f>
        <v>438</v>
      </c>
      <c r="F818" s="67">
        <v>809</v>
      </c>
      <c r="G818" s="3">
        <f t="shared" ref="G818" si="3805">F818-E818</f>
        <v>371</v>
      </c>
      <c r="H818" s="49">
        <f t="shared" ref="H818" si="3806">(F818-F817)/F817</f>
        <v>0.10973936899862825</v>
      </c>
      <c r="I818" s="58">
        <f t="shared" ref="I818" si="3807">(E818-E817)/E817</f>
        <v>-0.26633165829145727</v>
      </c>
      <c r="J818" s="30">
        <f t="shared" ref="J818" si="3808">E818-E817</f>
        <v>-159</v>
      </c>
      <c r="K818" s="62">
        <f t="shared" ref="K818" si="3809">(F818-F766)/F766</f>
        <v>0.33719008264462808</v>
      </c>
      <c r="L818" s="48">
        <f t="shared" ref="L818" si="3810">AVERAGE(F662,F714,F766)</f>
        <v>618</v>
      </c>
    </row>
    <row r="819" spans="1:12" ht="14.25" x14ac:dyDescent="0.2">
      <c r="A819" s="21">
        <f t="shared" si="3661"/>
        <v>44324</v>
      </c>
      <c r="B819" s="3">
        <v>542</v>
      </c>
      <c r="C819" s="3">
        <v>16</v>
      </c>
      <c r="D819" s="3">
        <v>75</v>
      </c>
      <c r="E819" s="3">
        <f t="shared" ref="E819" si="3811">SUM(B819:D819)</f>
        <v>633</v>
      </c>
      <c r="F819" s="67">
        <v>765</v>
      </c>
      <c r="G819" s="3">
        <f t="shared" ref="G819" si="3812">F819-E819</f>
        <v>132</v>
      </c>
      <c r="H819" s="49">
        <f t="shared" ref="H819" si="3813">(F819-F818)/F818</f>
        <v>-5.4388133498145856E-2</v>
      </c>
      <c r="I819" s="58">
        <f t="shared" ref="I819" si="3814">(E819-E818)/E818</f>
        <v>0.4452054794520548</v>
      </c>
      <c r="J819" s="30">
        <f t="shared" ref="J819" si="3815">E819-E818</f>
        <v>195</v>
      </c>
      <c r="K819" s="62">
        <f t="shared" ref="K819" si="3816">(F819-F767)/F767</f>
        <v>0.1953125</v>
      </c>
      <c r="L819" s="48">
        <f t="shared" ref="L819" si="3817">AVERAGE(F663,F715,F767)</f>
        <v>637.33333333333337</v>
      </c>
    </row>
    <row r="820" spans="1:12" ht="14.25" x14ac:dyDescent="0.2">
      <c r="A820" s="21">
        <f t="shared" si="3661"/>
        <v>44331</v>
      </c>
      <c r="B820" s="3">
        <v>427</v>
      </c>
      <c r="C820" s="3">
        <v>28</v>
      </c>
      <c r="D820" s="3">
        <v>80</v>
      </c>
      <c r="E820" s="3">
        <f t="shared" ref="E820" si="3818">SUM(B820:D820)</f>
        <v>535</v>
      </c>
      <c r="F820" s="67">
        <v>804</v>
      </c>
      <c r="G820" s="3">
        <f t="shared" ref="G820" si="3819">F820-E820</f>
        <v>269</v>
      </c>
      <c r="H820" s="49">
        <f t="shared" ref="H820" si="3820">(F820-F819)/F819</f>
        <v>5.0980392156862744E-2</v>
      </c>
      <c r="I820" s="58">
        <f t="shared" ref="I820" si="3821">(E820-E819)/E819</f>
        <v>-0.15481832543443919</v>
      </c>
      <c r="J820" s="30">
        <f t="shared" ref="J820" si="3822">E820-E819</f>
        <v>-98</v>
      </c>
      <c r="K820" s="62">
        <f t="shared" ref="K820" si="3823">(F820-F768)/F768</f>
        <v>0.56116504854368932</v>
      </c>
      <c r="L820" s="48">
        <f t="shared" ref="L820" si="3824">AVERAGE(F664,F716,F768)</f>
        <v>575</v>
      </c>
    </row>
    <row r="821" spans="1:12" ht="14.25" x14ac:dyDescent="0.2">
      <c r="A821" s="21">
        <f t="shared" si="3661"/>
        <v>44338</v>
      </c>
      <c r="B821" s="3">
        <v>476</v>
      </c>
      <c r="C821" s="3">
        <v>45</v>
      </c>
      <c r="D821" s="3">
        <v>57</v>
      </c>
      <c r="E821" s="3">
        <f t="shared" ref="E821" si="3825">SUM(B821:D821)</f>
        <v>578</v>
      </c>
      <c r="F821" s="67">
        <v>714</v>
      </c>
      <c r="G821" s="3">
        <f t="shared" ref="G821" si="3826">F821-E821</f>
        <v>136</v>
      </c>
      <c r="H821" s="49">
        <f t="shared" ref="H821" si="3827">(F821-F820)/F820</f>
        <v>-0.11194029850746269</v>
      </c>
      <c r="I821" s="58">
        <f t="shared" ref="I821" si="3828">(E821-E820)/E820</f>
        <v>8.0373831775700941E-2</v>
      </c>
      <c r="J821" s="30">
        <f t="shared" ref="J821" si="3829">E821-E820</f>
        <v>43</v>
      </c>
      <c r="K821" s="62">
        <f t="shared" ref="K821" si="3830">(F821-F769)/F769</f>
        <v>0.10526315789473684</v>
      </c>
      <c r="L821" s="48">
        <f t="shared" ref="L821" si="3831">AVERAGE(F665,F717,F769)</f>
        <v>595</v>
      </c>
    </row>
    <row r="822" spans="1:12" ht="14.25" x14ac:dyDescent="0.2">
      <c r="A822" s="21">
        <f t="shared" si="3661"/>
        <v>44345</v>
      </c>
      <c r="B822" s="3">
        <v>438</v>
      </c>
      <c r="C822" s="3">
        <v>14</v>
      </c>
      <c r="D822" s="3">
        <v>83</v>
      </c>
      <c r="E822" s="3">
        <f t="shared" ref="E822" si="3832">SUM(B822:D822)</f>
        <v>535</v>
      </c>
      <c r="F822" s="67">
        <v>777</v>
      </c>
      <c r="G822" s="3">
        <f t="shared" ref="G822" si="3833">F822-E822</f>
        <v>242</v>
      </c>
      <c r="H822" s="49">
        <f t="shared" ref="H822" si="3834">(F822-F821)/F821</f>
        <v>8.8235294117647065E-2</v>
      </c>
      <c r="I822" s="58">
        <f t="shared" ref="I822" si="3835">(E822-E821)/E821</f>
        <v>-7.4394463667820071E-2</v>
      </c>
      <c r="J822" s="30">
        <f t="shared" ref="J822" si="3836">E822-E821</f>
        <v>-43</v>
      </c>
      <c r="K822" s="62">
        <f t="shared" ref="K822" si="3837">(F822-F770)/F770</f>
        <v>0.26341463414634148</v>
      </c>
      <c r="L822" s="48">
        <f t="shared" ref="L822" si="3838">AVERAGE(F666,F718,F770)</f>
        <v>578.66666666666663</v>
      </c>
    </row>
    <row r="823" spans="1:12" ht="14.25" x14ac:dyDescent="0.2">
      <c r="A823" s="21">
        <f t="shared" si="3661"/>
        <v>44352</v>
      </c>
      <c r="B823" s="3">
        <v>589</v>
      </c>
      <c r="C823" s="3">
        <v>19</v>
      </c>
      <c r="D823" s="3">
        <v>95</v>
      </c>
      <c r="E823" s="3">
        <f t="shared" ref="E823" si="3839">SUM(B823:D823)</f>
        <v>703</v>
      </c>
      <c r="F823" s="67">
        <v>600</v>
      </c>
      <c r="G823" s="3">
        <f t="shared" ref="G823" si="3840">F823-E823</f>
        <v>-103</v>
      </c>
      <c r="H823" s="49">
        <f t="shared" ref="H823" si="3841">(F823-F822)/F822</f>
        <v>-0.22779922779922779</v>
      </c>
      <c r="I823" s="58">
        <f t="shared" ref="I823" si="3842">(E823-E822)/E822</f>
        <v>0.31401869158878504</v>
      </c>
      <c r="J823" s="30">
        <f t="shared" ref="J823" si="3843">E823-E822</f>
        <v>168</v>
      </c>
      <c r="K823" s="62">
        <f t="shared" ref="K823" si="3844">(F823-F771)/F771</f>
        <v>-0.1044776119402985</v>
      </c>
      <c r="L823" s="48">
        <f t="shared" ref="L823" si="3845">AVERAGE(F667,F719,F771)</f>
        <v>632</v>
      </c>
    </row>
    <row r="824" spans="1:12" ht="14.25" x14ac:dyDescent="0.2">
      <c r="A824" s="21">
        <f t="shared" si="3661"/>
        <v>44359</v>
      </c>
      <c r="B824" s="3">
        <v>479</v>
      </c>
      <c r="C824" s="3">
        <v>13</v>
      </c>
      <c r="D824" s="3">
        <v>31</v>
      </c>
      <c r="E824" s="3">
        <f t="shared" ref="E824" si="3846">SUM(B824:D824)</f>
        <v>523</v>
      </c>
      <c r="F824" s="67">
        <v>716</v>
      </c>
      <c r="G824" s="3">
        <f t="shared" ref="G824" si="3847">F824-E824</f>
        <v>193</v>
      </c>
      <c r="H824" s="49">
        <f t="shared" ref="H824" si="3848">(F824-F823)/F823</f>
        <v>0.19333333333333333</v>
      </c>
      <c r="I824" s="58">
        <f t="shared" ref="I824" si="3849">(E824-E823)/E823</f>
        <v>-0.25604551920341395</v>
      </c>
      <c r="J824" s="30">
        <f t="shared" ref="J824" si="3850">E824-E823</f>
        <v>-180</v>
      </c>
      <c r="K824" s="62">
        <f t="shared" ref="K824" si="3851">(F824-F772)/F772</f>
        <v>0.39299610894941633</v>
      </c>
      <c r="L824" s="48">
        <f t="shared" ref="L824" si="3852">AVERAGE(F668,F720,F772)</f>
        <v>492.66666666666669</v>
      </c>
    </row>
    <row r="825" spans="1:12" ht="14.25" x14ac:dyDescent="0.2">
      <c r="A825" s="21">
        <f t="shared" si="3661"/>
        <v>44366</v>
      </c>
      <c r="B825" s="3">
        <v>396</v>
      </c>
      <c r="C825" s="3">
        <v>29</v>
      </c>
      <c r="D825" s="3">
        <v>64</v>
      </c>
      <c r="E825" s="3">
        <f t="shared" ref="E825" si="3853">SUM(B825:D825)</f>
        <v>489</v>
      </c>
      <c r="F825" s="67">
        <v>636</v>
      </c>
      <c r="G825" s="3">
        <f t="shared" ref="G825" si="3854">F825-E825</f>
        <v>147</v>
      </c>
      <c r="H825" s="49">
        <f t="shared" ref="H825" si="3855">(F825-F824)/F824</f>
        <v>-0.11173184357541899</v>
      </c>
      <c r="I825" s="58">
        <f t="shared" ref="I825" si="3856">(E825-E824)/E824</f>
        <v>-6.5009560229445512E-2</v>
      </c>
      <c r="J825" s="30">
        <f t="shared" ref="J825" si="3857">E825-E824</f>
        <v>-34</v>
      </c>
      <c r="K825" s="62">
        <f t="shared" ref="K825" si="3858">(F825-F773)/F773</f>
        <v>-1.5479876160990712E-2</v>
      </c>
      <c r="L825" s="48">
        <f t="shared" ref="L825" si="3859">AVERAGE(F669,F721,F773)</f>
        <v>572.33333333333337</v>
      </c>
    </row>
    <row r="826" spans="1:12" ht="14.25" x14ac:dyDescent="0.2">
      <c r="A826" s="21">
        <f t="shared" si="3661"/>
        <v>44373</v>
      </c>
      <c r="B826" s="3">
        <v>421</v>
      </c>
      <c r="C826" s="3">
        <v>15</v>
      </c>
      <c r="D826" s="3">
        <v>39</v>
      </c>
      <c r="E826" s="3">
        <f t="shared" ref="E826" si="3860">SUM(B826:D826)</f>
        <v>475</v>
      </c>
      <c r="F826" s="67">
        <v>424</v>
      </c>
      <c r="G826" s="3">
        <f t="shared" ref="G826" si="3861">F826-E826</f>
        <v>-51</v>
      </c>
      <c r="H826" s="49">
        <f t="shared" ref="H826" si="3862">(F826-F825)/F825</f>
        <v>-0.33333333333333331</v>
      </c>
      <c r="I826" s="58">
        <f t="shared" ref="I826" si="3863">(E826-E825)/E825</f>
        <v>-2.8629856850715747E-2</v>
      </c>
      <c r="J826" s="30">
        <f t="shared" ref="J826" si="3864">E826-E825</f>
        <v>-14</v>
      </c>
      <c r="K826" s="62">
        <f t="shared" ref="K826" si="3865">(F826-F774)/F774</f>
        <v>-0.32591414944356123</v>
      </c>
      <c r="L826" s="48">
        <f t="shared" ref="L826" si="3866">AVERAGE(F670,F722,F774)</f>
        <v>597.33333333333337</v>
      </c>
    </row>
    <row r="827" spans="1:12" ht="14.25" x14ac:dyDescent="0.2">
      <c r="A827" s="21">
        <f t="shared" si="3661"/>
        <v>44380</v>
      </c>
      <c r="B827" s="3">
        <v>435</v>
      </c>
      <c r="C827" s="3">
        <v>23</v>
      </c>
      <c r="D827" s="3">
        <v>53</v>
      </c>
      <c r="E827" s="3">
        <f t="shared" ref="E827" si="3867">SUM(B827:D827)</f>
        <v>511</v>
      </c>
      <c r="F827" s="67">
        <v>559</v>
      </c>
      <c r="G827" s="3">
        <f t="shared" ref="G827" si="3868">F827-E827</f>
        <v>48</v>
      </c>
      <c r="H827" s="49">
        <f t="shared" ref="H827" si="3869">(F827-F826)/F826</f>
        <v>0.31839622641509435</v>
      </c>
      <c r="I827" s="58">
        <f t="shared" ref="I827" si="3870">(E827-E826)/E826</f>
        <v>7.5789473684210532E-2</v>
      </c>
      <c r="J827" s="30">
        <f t="shared" ref="J827" si="3871">E827-E826</f>
        <v>36</v>
      </c>
      <c r="K827" s="62">
        <f t="shared" ref="K827" si="3872">(F827-F775)/F775</f>
        <v>-0.11968503937007874</v>
      </c>
      <c r="L827" s="48">
        <f t="shared" ref="L827" si="3873">AVERAGE(F671,F723,F775)</f>
        <v>593</v>
      </c>
    </row>
    <row r="828" spans="1:12" ht="14.25" x14ac:dyDescent="0.2">
      <c r="A828" s="21">
        <f t="shared" si="3661"/>
        <v>44387</v>
      </c>
      <c r="B828" s="3">
        <v>379</v>
      </c>
      <c r="C828" s="3">
        <v>18</v>
      </c>
      <c r="D828" s="3">
        <v>76</v>
      </c>
      <c r="E828" s="3">
        <f t="shared" ref="E828" si="3874">SUM(B828:D828)</f>
        <v>473</v>
      </c>
      <c r="F828" s="67">
        <v>533</v>
      </c>
      <c r="G828" s="3">
        <f t="shared" ref="G828" si="3875">F828-E828</f>
        <v>60</v>
      </c>
      <c r="H828" s="49">
        <f t="shared" ref="H828" si="3876">(F828-F827)/F827</f>
        <v>-4.6511627906976744E-2</v>
      </c>
      <c r="I828" s="58">
        <f t="shared" ref="I828" si="3877">(E828-E827)/E827</f>
        <v>-7.4363992172211346E-2</v>
      </c>
      <c r="J828" s="30">
        <f t="shared" ref="J828" si="3878">E828-E827</f>
        <v>-38</v>
      </c>
      <c r="K828" s="62">
        <f t="shared" ref="K828" si="3879">(F828-F776)/F776</f>
        <v>-0.20447761194029851</v>
      </c>
      <c r="L828" s="48">
        <f t="shared" ref="L828" si="3880">AVERAGE(F672,F724,F776)</f>
        <v>581.66666666666663</v>
      </c>
    </row>
    <row r="829" spans="1:12" ht="14.25" x14ac:dyDescent="0.2">
      <c r="A829" s="21">
        <f t="shared" si="3661"/>
        <v>44394</v>
      </c>
      <c r="B829" s="3">
        <v>415</v>
      </c>
      <c r="C829" s="3">
        <v>24</v>
      </c>
      <c r="D829" s="3">
        <v>60</v>
      </c>
      <c r="E829" s="3">
        <f t="shared" ref="E829" si="3881">SUM(B829:D829)</f>
        <v>499</v>
      </c>
      <c r="F829" s="67">
        <v>539</v>
      </c>
      <c r="G829" s="3">
        <f t="shared" ref="G829" si="3882">F829-E829</f>
        <v>40</v>
      </c>
      <c r="H829" s="49">
        <f t="shared" ref="H829" si="3883">(F829-F828)/F828</f>
        <v>1.125703564727955E-2</v>
      </c>
      <c r="I829" s="58">
        <f t="shared" ref="I829" si="3884">(E829-E828)/E828</f>
        <v>5.4968287526427059E-2</v>
      </c>
      <c r="J829" s="30">
        <f t="shared" ref="J829" si="3885">E829-E828</f>
        <v>26</v>
      </c>
      <c r="K829" s="62">
        <f t="shared" ref="K829" si="3886">(F829-F777)/F777</f>
        <v>-8.6440677966101692E-2</v>
      </c>
      <c r="L829" s="48">
        <f t="shared" ref="L829" si="3887">AVERAGE(F673,F725,F777)</f>
        <v>602.66666666666663</v>
      </c>
    </row>
    <row r="830" spans="1:12" ht="14.25" x14ac:dyDescent="0.2">
      <c r="A830" s="21">
        <f t="shared" si="3661"/>
        <v>44401</v>
      </c>
      <c r="B830" s="3">
        <v>253</v>
      </c>
      <c r="C830" s="3">
        <v>32</v>
      </c>
      <c r="D830" s="3">
        <v>37</v>
      </c>
      <c r="E830" s="3">
        <f t="shared" ref="E830" si="3888">SUM(B830:D830)</f>
        <v>322</v>
      </c>
      <c r="F830" s="67">
        <v>701</v>
      </c>
      <c r="G830" s="3">
        <f t="shared" ref="G830" si="3889">F830-E830</f>
        <v>379</v>
      </c>
      <c r="H830" s="49">
        <f t="shared" ref="H830" si="3890">(F830-F829)/F829</f>
        <v>0.30055658627087201</v>
      </c>
      <c r="I830" s="58">
        <f t="shared" ref="I830" si="3891">(E830-E829)/E829</f>
        <v>-0.35470941883767537</v>
      </c>
      <c r="J830" s="30">
        <f t="shared" ref="J830" si="3892">E830-E829</f>
        <v>-177</v>
      </c>
      <c r="K830" s="62">
        <f t="shared" ref="K830" si="3893">(F830-F778)/F778</f>
        <v>0.3102803738317757</v>
      </c>
      <c r="L830" s="48">
        <f t="shared" ref="L830" si="3894">AVERAGE(F674,F726,F778)</f>
        <v>682.66666666666663</v>
      </c>
    </row>
    <row r="831" spans="1:12" ht="14.25" x14ac:dyDescent="0.2">
      <c r="A831" s="21">
        <f t="shared" si="3661"/>
        <v>44408</v>
      </c>
      <c r="B831" s="3">
        <v>368</v>
      </c>
      <c r="C831" s="3">
        <v>21</v>
      </c>
      <c r="D831" s="3">
        <v>68</v>
      </c>
      <c r="E831" s="3">
        <f t="shared" ref="E831" si="3895">SUM(B831:D831)</f>
        <v>457</v>
      </c>
      <c r="F831" s="67">
        <v>650</v>
      </c>
      <c r="G831" s="3">
        <f t="shared" ref="G831" si="3896">F831-E831</f>
        <v>193</v>
      </c>
      <c r="H831" s="49">
        <f t="shared" ref="H831" si="3897">(F831-F830)/F830</f>
        <v>-7.2753209700427965E-2</v>
      </c>
      <c r="I831" s="58">
        <f t="shared" ref="I831" si="3898">(E831-E830)/E830</f>
        <v>0.41925465838509318</v>
      </c>
      <c r="J831" s="30">
        <f t="shared" ref="J831" si="3899">E831-E830</f>
        <v>135</v>
      </c>
      <c r="K831" s="62">
        <f t="shared" ref="K831" si="3900">(F831-F779)/F779</f>
        <v>5.5194805194805192E-2</v>
      </c>
      <c r="L831" s="48">
        <f t="shared" ref="L831" si="3901">AVERAGE(F675,F727,F779)</f>
        <v>669</v>
      </c>
    </row>
    <row r="832" spans="1:12" ht="14.25" x14ac:dyDescent="0.2">
      <c r="A832" s="21">
        <f t="shared" si="3661"/>
        <v>44415</v>
      </c>
      <c r="B832" s="3">
        <v>277</v>
      </c>
      <c r="C832" s="3">
        <v>37</v>
      </c>
      <c r="D832" s="3">
        <v>45</v>
      </c>
      <c r="E832" s="3">
        <f t="shared" ref="E832" si="3902">SUM(B832:D832)</f>
        <v>359</v>
      </c>
      <c r="F832" s="67">
        <v>580</v>
      </c>
      <c r="G832" s="3">
        <f t="shared" ref="G832" si="3903">F832-E832</f>
        <v>221</v>
      </c>
      <c r="H832" s="49">
        <f t="shared" ref="H832" si="3904">(F832-F831)/F831</f>
        <v>-0.1076923076923077</v>
      </c>
      <c r="I832" s="58">
        <f t="shared" ref="I832" si="3905">(E832-E831)/E831</f>
        <v>-0.21444201312910285</v>
      </c>
      <c r="J832" s="30">
        <f t="shared" ref="J832" si="3906">E832-E831</f>
        <v>-98</v>
      </c>
      <c r="K832" s="62">
        <f t="shared" ref="K832" si="3907">(F832-F780)/F780</f>
        <v>-0.2722710163111669</v>
      </c>
      <c r="L832" s="48">
        <f t="shared" ref="L832" si="3908">AVERAGE(F676,F728,F780)</f>
        <v>723</v>
      </c>
    </row>
    <row r="833" spans="1:15" ht="14.25" x14ac:dyDescent="0.2">
      <c r="A833" s="21">
        <f t="shared" si="3661"/>
        <v>44422</v>
      </c>
      <c r="B833" s="3">
        <v>253</v>
      </c>
      <c r="C833" s="3">
        <v>15</v>
      </c>
      <c r="D833" s="3">
        <v>66</v>
      </c>
      <c r="E833" s="3">
        <f t="shared" ref="E833" si="3909">SUM(B833:D833)</f>
        <v>334</v>
      </c>
      <c r="F833" s="67">
        <v>512</v>
      </c>
      <c r="G833" s="3">
        <f t="shared" ref="G833" si="3910">F833-E833</f>
        <v>178</v>
      </c>
      <c r="H833" s="49">
        <f t="shared" ref="H833" si="3911">(F833-F832)/F832</f>
        <v>-0.11724137931034483</v>
      </c>
      <c r="I833" s="58">
        <f t="shared" ref="I833" si="3912">(E833-E832)/E832</f>
        <v>-6.9637883008356549E-2</v>
      </c>
      <c r="J833" s="30">
        <f t="shared" ref="J833" si="3913">E833-E832</f>
        <v>-25</v>
      </c>
      <c r="K833" s="62">
        <f t="shared" ref="K833" si="3914">(F833-F781)/F781</f>
        <v>-0.3024523160762943</v>
      </c>
      <c r="L833" s="48">
        <f t="shared" ref="L833" si="3915">AVERAGE(F677,F729,F781)</f>
        <v>715.66666666666663</v>
      </c>
    </row>
    <row r="834" spans="1:15" ht="14.25" x14ac:dyDescent="0.2">
      <c r="A834" s="21">
        <f t="shared" si="3661"/>
        <v>44429</v>
      </c>
      <c r="B834" s="3">
        <v>167</v>
      </c>
      <c r="C834" s="3">
        <v>33</v>
      </c>
      <c r="D834" s="3">
        <v>54</v>
      </c>
      <c r="E834" s="3">
        <f t="shared" ref="E834" si="3916">SUM(B834:D834)</f>
        <v>254</v>
      </c>
      <c r="F834" s="67">
        <v>487</v>
      </c>
      <c r="G834" s="3">
        <f t="shared" ref="G834" si="3917">F834-E834</f>
        <v>233</v>
      </c>
      <c r="H834" s="49">
        <f t="shared" ref="H834" si="3918">(F834-F833)/F833</f>
        <v>-4.8828125E-2</v>
      </c>
      <c r="I834" s="58">
        <f t="shared" ref="I834" si="3919">(E834-E833)/E833</f>
        <v>-0.23952095808383234</v>
      </c>
      <c r="J834" s="30">
        <f t="shared" ref="J834" si="3920">E834-E833</f>
        <v>-80</v>
      </c>
      <c r="K834" s="62">
        <f t="shared" ref="K834" si="3921">(F834-F782)/F782</f>
        <v>-0.2838235294117647</v>
      </c>
      <c r="L834" s="48">
        <f t="shared" ref="L834" si="3922">AVERAGE(F678,F730,F782)</f>
        <v>676.33333333333337</v>
      </c>
    </row>
    <row r="835" spans="1:15" ht="14.25" x14ac:dyDescent="0.2">
      <c r="A835" s="21">
        <f t="shared" si="3661"/>
        <v>44436</v>
      </c>
      <c r="B835" s="3">
        <v>127</v>
      </c>
      <c r="C835" s="3">
        <v>30</v>
      </c>
      <c r="D835" s="3">
        <v>28</v>
      </c>
      <c r="E835" s="3">
        <f t="shared" ref="E835" si="3923">SUM(B835:D835)</f>
        <v>185</v>
      </c>
      <c r="F835" s="67" t="e">
        <v>#N/A</v>
      </c>
      <c r="G835" s="3" t="e">
        <f t="shared" ref="G835" si="3924">F835-E835</f>
        <v>#N/A</v>
      </c>
      <c r="H835" s="49" t="e">
        <f t="shared" ref="H835" si="3925">(F835-F834)/F834</f>
        <v>#N/A</v>
      </c>
      <c r="I835" s="58">
        <f t="shared" ref="I835" si="3926">(E835-E834)/E834</f>
        <v>-0.27165354330708663</v>
      </c>
      <c r="J835" s="30">
        <f t="shared" ref="J835" si="3927">E835-E834</f>
        <v>-69</v>
      </c>
      <c r="K835" s="62" t="e">
        <f t="shared" ref="K835" si="3928">(F835-F783)/F783</f>
        <v>#N/A</v>
      </c>
      <c r="L835" s="48">
        <f t="shared" ref="L835" si="3929">AVERAGE(F679,F731,F783)</f>
        <v>599.33333333333337</v>
      </c>
      <c r="O835" s="2" t="s">
        <v>43</v>
      </c>
    </row>
    <row r="836" spans="1:15" ht="14.25" x14ac:dyDescent="0.2">
      <c r="A836" s="21">
        <f t="shared" si="3661"/>
        <v>44443</v>
      </c>
      <c r="B836" s="3">
        <v>122</v>
      </c>
      <c r="C836" s="3">
        <v>0</v>
      </c>
      <c r="D836" s="3">
        <v>75</v>
      </c>
      <c r="E836" s="3">
        <f t="shared" ref="E836" si="3930">SUM(B836:D836)</f>
        <v>197</v>
      </c>
      <c r="F836" s="67" t="e">
        <v>#N/A</v>
      </c>
      <c r="G836" s="3" t="e">
        <f t="shared" ref="G836" si="3931">F836-E836</f>
        <v>#N/A</v>
      </c>
      <c r="H836" s="49" t="e">
        <f t="shared" ref="H836" si="3932">(F836-F835)/F835</f>
        <v>#N/A</v>
      </c>
      <c r="I836" s="58">
        <f t="shared" ref="I836" si="3933">(E836-E835)/E835</f>
        <v>6.4864864864864868E-2</v>
      </c>
      <c r="J836" s="30">
        <f t="shared" ref="J836" si="3934">E836-E835</f>
        <v>12</v>
      </c>
      <c r="K836" s="62" t="e">
        <f t="shared" ref="K836" si="3935">(F836-F784)/F784</f>
        <v>#N/A</v>
      </c>
      <c r="L836" s="48">
        <f t="shared" ref="L836" si="3936">AVERAGE(F680,F732,F784)</f>
        <v>741.66666666666663</v>
      </c>
      <c r="O836" s="2" t="s">
        <v>43</v>
      </c>
    </row>
    <row r="837" spans="1:15" ht="14.25" x14ac:dyDescent="0.2">
      <c r="A837" s="21">
        <f t="shared" si="3661"/>
        <v>44450</v>
      </c>
      <c r="B837" s="3">
        <v>54</v>
      </c>
      <c r="C837" s="3">
        <v>35</v>
      </c>
      <c r="D837" s="3">
        <v>25</v>
      </c>
      <c r="E837" s="3">
        <f t="shared" ref="E837" si="3937">SUM(B837:D837)</f>
        <v>114</v>
      </c>
      <c r="F837" s="67" t="e">
        <v>#N/A</v>
      </c>
      <c r="G837" s="3" t="e">
        <f t="shared" ref="G837" si="3938">F837-E837</f>
        <v>#N/A</v>
      </c>
      <c r="H837" s="49" t="e">
        <f t="shared" ref="H837" si="3939">(F837-F836)/F836</f>
        <v>#N/A</v>
      </c>
      <c r="I837" s="58">
        <f t="shared" ref="I837" si="3940">(E837-E836)/E836</f>
        <v>-0.42131979695431471</v>
      </c>
      <c r="J837" s="30">
        <f t="shared" ref="J837" si="3941">E837-E836</f>
        <v>-83</v>
      </c>
      <c r="K837" s="62" t="e">
        <f t="shared" ref="K837" si="3942">(F837-F785)/F785</f>
        <v>#N/A</v>
      </c>
      <c r="L837" s="48">
        <f t="shared" ref="L837" si="3943">AVERAGE(F681,F733,F785)</f>
        <v>688</v>
      </c>
      <c r="O837" s="2" t="s">
        <v>43</v>
      </c>
    </row>
    <row r="838" spans="1:15" ht="14.25" x14ac:dyDescent="0.2">
      <c r="A838" s="21">
        <f t="shared" si="3661"/>
        <v>44457</v>
      </c>
      <c r="B838" s="3">
        <v>35</v>
      </c>
      <c r="C838" s="3">
        <v>38</v>
      </c>
      <c r="D838" s="3">
        <v>41</v>
      </c>
      <c r="E838" s="3">
        <f t="shared" ref="E838" si="3944">SUM(B838:D838)</f>
        <v>114</v>
      </c>
      <c r="F838" s="67">
        <v>256</v>
      </c>
      <c r="G838" s="3">
        <f t="shared" ref="G838" si="3945">F838-E838</f>
        <v>142</v>
      </c>
      <c r="H838" s="49" t="e">
        <f t="shared" ref="H838" si="3946">(F838-F837)/F837</f>
        <v>#N/A</v>
      </c>
      <c r="I838" s="58">
        <f t="shared" ref="I838" si="3947">(E838-E837)/E837</f>
        <v>0</v>
      </c>
      <c r="J838" s="30">
        <f t="shared" ref="J838" si="3948">E838-E837</f>
        <v>0</v>
      </c>
      <c r="K838" s="62">
        <f t="shared" ref="K838" si="3949">(F838-F786)/F786</f>
        <v>-0.59748427672955973</v>
      </c>
      <c r="L838" s="48">
        <f t="shared" ref="L838" si="3950">AVERAGE(F682,F734,F786)</f>
        <v>670.33333333333337</v>
      </c>
    </row>
    <row r="839" spans="1:15" ht="14.25" x14ac:dyDescent="0.2">
      <c r="A839" s="21">
        <f t="shared" si="3661"/>
        <v>44464</v>
      </c>
      <c r="B839" s="3">
        <v>23</v>
      </c>
      <c r="C839" s="3">
        <v>29</v>
      </c>
      <c r="D839" s="3">
        <v>60</v>
      </c>
      <c r="E839" s="3">
        <f t="shared" ref="E839" si="3951">SUM(B839:D839)</f>
        <v>112</v>
      </c>
      <c r="F839" s="67">
        <v>391</v>
      </c>
      <c r="G839" s="3">
        <f t="shared" ref="G839" si="3952">F839-E839</f>
        <v>279</v>
      </c>
      <c r="H839" s="49">
        <f t="shared" ref="H839" si="3953">(F839-F838)/F838</f>
        <v>0.52734375</v>
      </c>
      <c r="I839" s="58">
        <f t="shared" ref="I839" si="3954">(E839-E838)/E838</f>
        <v>-1.7543859649122806E-2</v>
      </c>
      <c r="J839" s="30">
        <f t="shared" ref="J839" si="3955">E839-E838</f>
        <v>-2</v>
      </c>
      <c r="K839" s="62">
        <f t="shared" ref="K839" si="3956">(F839-F787)/F787</f>
        <v>-0.4508426966292135</v>
      </c>
      <c r="L839" s="48">
        <f t="shared" ref="L839" si="3957">AVERAGE(F683,F735,F787)</f>
        <v>717</v>
      </c>
    </row>
    <row r="840" spans="1:15" ht="14.25" x14ac:dyDescent="0.2">
      <c r="A840" s="21">
        <f t="shared" si="3661"/>
        <v>44471</v>
      </c>
      <c r="B840" s="3">
        <v>103</v>
      </c>
      <c r="C840" s="3">
        <v>31</v>
      </c>
      <c r="D840" s="3">
        <v>161</v>
      </c>
      <c r="E840" s="3">
        <f t="shared" ref="E840" si="3958">SUM(B840:D840)</f>
        <v>295</v>
      </c>
      <c r="F840" s="67">
        <v>637</v>
      </c>
      <c r="G840" s="3">
        <f t="shared" ref="G840" si="3959">F840-E840</f>
        <v>342</v>
      </c>
      <c r="H840" s="49">
        <f t="shared" ref="H840" si="3960">(F840-F839)/F839</f>
        <v>0.62915601023017897</v>
      </c>
      <c r="I840" s="58">
        <f t="shared" ref="I840" si="3961">(E840-E839)/E839</f>
        <v>1.6339285714285714</v>
      </c>
      <c r="J840" s="30">
        <f t="shared" ref="J840" si="3962">E840-E839</f>
        <v>183</v>
      </c>
      <c r="K840" s="62">
        <f t="shared" ref="K840" si="3963">(F840-F788)/F788</f>
        <v>-0.3023001095290252</v>
      </c>
      <c r="L840" s="48">
        <f t="shared" ref="L840" si="3964">AVERAGE(F684,F736,F788)</f>
        <v>794</v>
      </c>
    </row>
    <row r="841" spans="1:15" ht="14.25" x14ac:dyDescent="0.2">
      <c r="A841" s="21">
        <f t="shared" si="3661"/>
        <v>44478</v>
      </c>
      <c r="B841" s="3">
        <v>199</v>
      </c>
      <c r="C841" s="3">
        <v>14</v>
      </c>
      <c r="D841" s="3">
        <v>147</v>
      </c>
      <c r="E841" s="3">
        <f t="shared" ref="E841" si="3965">SUM(B841:D841)</f>
        <v>360</v>
      </c>
      <c r="F841" s="67">
        <v>747</v>
      </c>
      <c r="G841" s="3">
        <f t="shared" ref="G841" si="3966">F841-E841</f>
        <v>387</v>
      </c>
      <c r="H841" s="49">
        <f t="shared" ref="H841" si="3967">(F841-F840)/F840</f>
        <v>0.17268445839874411</v>
      </c>
      <c r="I841" s="58">
        <f t="shared" ref="I841" si="3968">(E841-E840)/E840</f>
        <v>0.22033898305084745</v>
      </c>
      <c r="J841" s="30">
        <f t="shared" ref="J841" si="3969">E841-E840</f>
        <v>65</v>
      </c>
      <c r="K841" s="62">
        <f t="shared" ref="K841" si="3970">(F841-F789)/F789</f>
        <v>-1.5810276679841896E-2</v>
      </c>
      <c r="L841" s="48">
        <f t="shared" ref="L841" si="3971">AVERAGE(F685,F737,F789)</f>
        <v>797</v>
      </c>
    </row>
    <row r="842" spans="1:15" ht="14.25" x14ac:dyDescent="0.2">
      <c r="A842" s="21">
        <f t="shared" si="3661"/>
        <v>44485</v>
      </c>
      <c r="B842" s="3">
        <v>325</v>
      </c>
      <c r="C842" s="3">
        <v>37</v>
      </c>
      <c r="D842" s="3">
        <v>148</v>
      </c>
      <c r="E842" s="3">
        <f t="shared" ref="E842" si="3972">SUM(B842:D842)</f>
        <v>510</v>
      </c>
      <c r="F842" s="67">
        <v>772</v>
      </c>
      <c r="G842" s="3">
        <f t="shared" ref="G842" si="3973">F842-E842</f>
        <v>262</v>
      </c>
      <c r="H842" s="49">
        <f t="shared" ref="H842" si="3974">(F842-F841)/F841</f>
        <v>3.3467202141900937E-2</v>
      </c>
      <c r="I842" s="58">
        <f t="shared" ref="I842" si="3975">(E842-E841)/E841</f>
        <v>0.41666666666666669</v>
      </c>
      <c r="J842" s="30">
        <f t="shared" ref="J842" si="3976">E842-E841</f>
        <v>150</v>
      </c>
      <c r="K842" s="62">
        <f t="shared" ref="K842" si="3977">(F842-F790)/F790</f>
        <v>-0.17256162915326903</v>
      </c>
      <c r="L842" s="48">
        <f t="shared" ref="L842" si="3978">AVERAGE(F686,F738,F790)</f>
        <v>856.33333333333337</v>
      </c>
    </row>
    <row r="843" spans="1:15" ht="14.25" x14ac:dyDescent="0.2">
      <c r="A843" s="21">
        <f t="shared" si="3661"/>
        <v>44492</v>
      </c>
      <c r="B843" s="3">
        <v>208</v>
      </c>
      <c r="C843" s="3">
        <v>28</v>
      </c>
      <c r="D843" s="3">
        <v>129</v>
      </c>
      <c r="E843" s="3">
        <f t="shared" ref="E843" si="3979">SUM(B843:D843)</f>
        <v>365</v>
      </c>
      <c r="F843" s="67">
        <v>762</v>
      </c>
      <c r="G843" s="3">
        <f t="shared" ref="G843" si="3980">F843-E843</f>
        <v>397</v>
      </c>
      <c r="H843" s="49">
        <f t="shared" ref="H843" si="3981">(F843-F842)/F842</f>
        <v>-1.2953367875647668E-2</v>
      </c>
      <c r="I843" s="58">
        <f t="shared" ref="I843" si="3982">(E843-E842)/E842</f>
        <v>-0.28431372549019607</v>
      </c>
      <c r="J843" s="30">
        <f t="shared" ref="J843" si="3983">E843-E842</f>
        <v>-145</v>
      </c>
      <c r="K843" s="62">
        <f t="shared" ref="K843" si="3984">(F843-F791)/F791</f>
        <v>-0.22403258655804481</v>
      </c>
      <c r="L843" s="48">
        <f t="shared" ref="L843" si="3985">AVERAGE(F687,F739,F791)</f>
        <v>756.66666666666663</v>
      </c>
    </row>
    <row r="844" spans="1:15" ht="14.25" x14ac:dyDescent="0.2">
      <c r="A844" s="21">
        <f t="shared" si="3661"/>
        <v>44499</v>
      </c>
      <c r="B844" s="3">
        <v>295</v>
      </c>
      <c r="C844" s="3">
        <v>36</v>
      </c>
      <c r="D844" s="3">
        <v>190</v>
      </c>
      <c r="E844" s="3">
        <f t="shared" ref="E844" si="3986">SUM(B844:D844)</f>
        <v>521</v>
      </c>
      <c r="F844" s="67">
        <v>794</v>
      </c>
      <c r="G844" s="3">
        <f t="shared" ref="G844" si="3987">F844-E844</f>
        <v>273</v>
      </c>
      <c r="H844" s="49">
        <f t="shared" ref="H844" si="3988">(F844-F843)/F843</f>
        <v>4.1994750656167978E-2</v>
      </c>
      <c r="I844" s="58">
        <f t="shared" ref="I844" si="3989">(E844-E843)/E843</f>
        <v>0.42739726027397262</v>
      </c>
      <c r="J844" s="30">
        <f t="shared" ref="J844" si="3990">E844-E843</f>
        <v>156</v>
      </c>
      <c r="K844" s="62">
        <f t="shared" ref="K844" si="3991">(F844-F792)/F792</f>
        <v>0.10584958217270195</v>
      </c>
      <c r="L844" s="48">
        <f t="shared" ref="L844" si="3992">AVERAGE(F688,F740,F792)</f>
        <v>739</v>
      </c>
    </row>
    <row r="845" spans="1:15" ht="14.25" x14ac:dyDescent="0.2">
      <c r="A845" s="21">
        <f t="shared" si="3661"/>
        <v>44506</v>
      </c>
      <c r="B845" s="3">
        <v>229</v>
      </c>
      <c r="C845" s="3">
        <v>30</v>
      </c>
      <c r="D845" s="3">
        <v>118</v>
      </c>
      <c r="E845" s="3">
        <f t="shared" ref="E845" si="3993">SUM(B845:D845)</f>
        <v>377</v>
      </c>
      <c r="F845" s="67">
        <v>878</v>
      </c>
      <c r="G845" s="3">
        <f t="shared" ref="G845" si="3994">F845-E845</f>
        <v>501</v>
      </c>
      <c r="H845" s="49">
        <f t="shared" ref="H845" si="3995">(F845-F844)/F844</f>
        <v>0.10579345088161209</v>
      </c>
      <c r="I845" s="58">
        <f t="shared" ref="I845" si="3996">(E845-E844)/E844</f>
        <v>-0.27639155470249521</v>
      </c>
      <c r="J845" s="30">
        <f t="shared" ref="J845" si="3997">E845-E844</f>
        <v>-144</v>
      </c>
      <c r="K845" s="62">
        <f t="shared" ref="K845" si="3998">(F845-F793)/F793</f>
        <v>-7.4815595363540571E-2</v>
      </c>
      <c r="L845" s="48">
        <f t="shared" ref="L845" si="3999">AVERAGE(F689,F741,F793)</f>
        <v>831.66666666666663</v>
      </c>
    </row>
    <row r="846" spans="1:15" ht="14.25" x14ac:dyDescent="0.2">
      <c r="A846" s="21">
        <f t="shared" si="3661"/>
        <v>44513</v>
      </c>
      <c r="B846" s="3">
        <v>375</v>
      </c>
      <c r="C846" s="3">
        <v>36</v>
      </c>
      <c r="D846" s="3">
        <v>146</v>
      </c>
      <c r="E846" s="3">
        <f t="shared" ref="E846" si="4000">SUM(B846:D846)</f>
        <v>557</v>
      </c>
      <c r="F846" s="67">
        <v>908</v>
      </c>
      <c r="G846" s="3">
        <f t="shared" ref="G846" si="4001">F846-E846</f>
        <v>351</v>
      </c>
      <c r="H846" s="49">
        <f t="shared" ref="H846" si="4002">(F846-F845)/F845</f>
        <v>3.4168564920273349E-2</v>
      </c>
      <c r="I846" s="58">
        <f t="shared" ref="I846" si="4003">(E846-E845)/E845</f>
        <v>0.47745358090185674</v>
      </c>
      <c r="J846" s="30">
        <f t="shared" ref="J846" si="4004">E846-E845</f>
        <v>180</v>
      </c>
      <c r="K846" s="62">
        <f t="shared" ref="K846" si="4005">(F846-F794)/F794</f>
        <v>-5.4764512595837896E-3</v>
      </c>
      <c r="L846" s="48">
        <f t="shared" ref="L846" si="4006">AVERAGE(F690,F742,F794)</f>
        <v>814</v>
      </c>
    </row>
    <row r="847" spans="1:15" ht="14.25" x14ac:dyDescent="0.2">
      <c r="A847" s="21">
        <f t="shared" si="3661"/>
        <v>44520</v>
      </c>
      <c r="B847" s="3">
        <v>311</v>
      </c>
      <c r="C847" s="3">
        <v>12</v>
      </c>
      <c r="D847" s="3">
        <v>174</v>
      </c>
      <c r="E847" s="3">
        <f t="shared" ref="E847" si="4007">SUM(B847:D847)</f>
        <v>497</v>
      </c>
      <c r="F847" s="67">
        <v>891</v>
      </c>
      <c r="G847" s="3">
        <f t="shared" ref="G847" si="4008">F847-E847</f>
        <v>394</v>
      </c>
      <c r="H847" s="49">
        <f t="shared" ref="H847" si="4009">(F847-F846)/F846</f>
        <v>-1.8722466960352423E-2</v>
      </c>
      <c r="I847" s="58">
        <f t="shared" ref="I847" si="4010">(E847-E846)/E846</f>
        <v>-0.10771992818671454</v>
      </c>
      <c r="J847" s="30">
        <f t="shared" ref="J847" si="4011">E847-E846</f>
        <v>-60</v>
      </c>
      <c r="K847" s="62">
        <f t="shared" ref="K847" si="4012">(F847-F795)/F795</f>
        <v>-0.1</v>
      </c>
      <c r="L847" s="48">
        <f t="shared" ref="L847" si="4013">AVERAGE(F691,F743,F795)</f>
        <v>903</v>
      </c>
    </row>
    <row r="848" spans="1:15" ht="14.25" x14ac:dyDescent="0.2">
      <c r="A848" s="21">
        <f t="shared" si="3661"/>
        <v>44527</v>
      </c>
      <c r="B848" s="3">
        <v>252</v>
      </c>
      <c r="C848" s="3">
        <v>35</v>
      </c>
      <c r="D848" s="3">
        <v>138</v>
      </c>
      <c r="E848" s="3">
        <f t="shared" ref="E848" si="4014">SUM(B848:D848)</f>
        <v>425</v>
      </c>
      <c r="F848" s="67">
        <v>908</v>
      </c>
      <c r="G848" s="3">
        <f t="shared" ref="G848" si="4015">F848-E848</f>
        <v>483</v>
      </c>
      <c r="H848" s="49">
        <f t="shared" ref="H848" si="4016">(F848-F847)/F847</f>
        <v>1.9079685746352413E-2</v>
      </c>
      <c r="I848" s="58">
        <f t="shared" ref="I848" si="4017">(E848-E847)/E847</f>
        <v>-0.14486921529175051</v>
      </c>
      <c r="J848" s="30">
        <f t="shared" ref="J848" si="4018">E848-E847</f>
        <v>-72</v>
      </c>
      <c r="K848" s="62">
        <f t="shared" ref="K848" si="4019">(F848-F796)/F796</f>
        <v>-7.2522982635342181E-2</v>
      </c>
      <c r="L848" s="48">
        <f t="shared" ref="L848" si="4020">AVERAGE(F692,F744,F796)</f>
        <v>851.33333333333337</v>
      </c>
    </row>
    <row r="849" spans="1:12" ht="14.25" x14ac:dyDescent="0.2">
      <c r="A849" s="21">
        <f t="shared" si="3661"/>
        <v>44534</v>
      </c>
      <c r="B849" s="3">
        <v>413</v>
      </c>
      <c r="C849" s="3">
        <v>26</v>
      </c>
      <c r="D849" s="3">
        <v>102</v>
      </c>
      <c r="E849" s="3">
        <f t="shared" ref="E849" si="4021">SUM(B849:D849)</f>
        <v>541</v>
      </c>
      <c r="F849" s="67">
        <v>749</v>
      </c>
      <c r="G849" s="3">
        <f t="shared" ref="G849" si="4022">F849-E849</f>
        <v>208</v>
      </c>
      <c r="H849" s="49">
        <f t="shared" ref="H849" si="4023">(F849-F848)/F848</f>
        <v>-0.17511013215859031</v>
      </c>
      <c r="I849" s="58">
        <f t="shared" ref="I849" si="4024">(E849-E848)/E848</f>
        <v>0.27294117647058824</v>
      </c>
      <c r="J849" s="30">
        <f t="shared" ref="J849" si="4025">E849-E848</f>
        <v>116</v>
      </c>
      <c r="K849" s="62">
        <f t="shared" ref="K849" si="4026">(F849-F797)/F797</f>
        <v>-0.1696230598669623</v>
      </c>
      <c r="L849" s="48">
        <f t="shared" ref="L849" si="4027">AVERAGE(F693,F745,F797)</f>
        <v>856</v>
      </c>
    </row>
    <row r="850" spans="1:12" ht="14.25" x14ac:dyDescent="0.2">
      <c r="A850" s="21">
        <f t="shared" si="3661"/>
        <v>44541</v>
      </c>
      <c r="B850" s="3">
        <v>287</v>
      </c>
      <c r="C850" s="3">
        <v>26</v>
      </c>
      <c r="D850" s="3">
        <v>180</v>
      </c>
      <c r="E850" s="3">
        <f t="shared" ref="E850" si="4028">SUM(B850:D850)</f>
        <v>493</v>
      </c>
      <c r="F850" s="67">
        <v>745</v>
      </c>
      <c r="G850" s="3">
        <f t="shared" ref="G850" si="4029">F850-E850</f>
        <v>252</v>
      </c>
      <c r="H850" s="49">
        <f t="shared" ref="H850" si="4030">(F850-F849)/F849</f>
        <v>-5.3404539385847796E-3</v>
      </c>
      <c r="I850" s="58">
        <f t="shared" ref="I850" si="4031">(E850-E849)/E849</f>
        <v>-8.8724584103512014E-2</v>
      </c>
      <c r="J850" s="30">
        <f t="shared" ref="J850" si="4032">E850-E849</f>
        <v>-48</v>
      </c>
      <c r="K850" s="62">
        <f t="shared" ref="K850" si="4033">(F850-F798)/F798</f>
        <v>-0.27103718199608612</v>
      </c>
      <c r="L850" s="48">
        <f t="shared" ref="L850" si="4034">AVERAGE(F694,F746,F798)</f>
        <v>841</v>
      </c>
    </row>
    <row r="851" spans="1:12" ht="14.25" x14ac:dyDescent="0.2">
      <c r="A851" s="21">
        <f t="shared" si="3661"/>
        <v>44548</v>
      </c>
      <c r="B851" s="3">
        <v>348</v>
      </c>
      <c r="C851" s="3">
        <v>46</v>
      </c>
      <c r="D851" s="3">
        <v>130</v>
      </c>
      <c r="E851" s="3">
        <f t="shared" ref="E851" si="4035">SUM(B851:D851)</f>
        <v>524</v>
      </c>
      <c r="F851" s="67">
        <v>788</v>
      </c>
      <c r="G851" s="3">
        <f t="shared" ref="G851" si="4036">F851-E851</f>
        <v>264</v>
      </c>
      <c r="H851" s="49">
        <f t="shared" ref="H851" si="4037">(F851-F850)/F850</f>
        <v>5.771812080536913E-2</v>
      </c>
      <c r="I851" s="58">
        <f t="shared" ref="I851" si="4038">(E851-E850)/E850</f>
        <v>6.2880324543610547E-2</v>
      </c>
      <c r="J851" s="30">
        <f t="shared" ref="J851" si="4039">E851-E850</f>
        <v>31</v>
      </c>
      <c r="K851" s="62">
        <f t="shared" ref="K851" si="4040">(F851-F799)/F799</f>
        <v>-0.2783882783882784</v>
      </c>
      <c r="L851" s="48">
        <f t="shared" ref="L851" si="4041">AVERAGE(F695,F747,F799)</f>
        <v>864.66666666666663</v>
      </c>
    </row>
    <row r="852" spans="1:12" ht="14.25" x14ac:dyDescent="0.2">
      <c r="A852" s="21">
        <f t="shared" si="3661"/>
        <v>44555</v>
      </c>
      <c r="B852" s="3">
        <v>249</v>
      </c>
      <c r="C852" s="3">
        <v>29</v>
      </c>
      <c r="D852" s="3">
        <v>112</v>
      </c>
      <c r="E852" s="3">
        <f t="shared" ref="E852" si="4042">SUM(B852:D852)</f>
        <v>390</v>
      </c>
      <c r="F852" s="67">
        <v>856</v>
      </c>
      <c r="G852" s="3">
        <f t="shared" ref="G852" si="4043">F852-E852</f>
        <v>466</v>
      </c>
      <c r="H852" s="49">
        <f t="shared" ref="H852" si="4044">(F852-F851)/F851</f>
        <v>8.6294416243654817E-2</v>
      </c>
      <c r="I852" s="58">
        <f t="shared" ref="I852" si="4045">(E852-E851)/E851</f>
        <v>-0.25572519083969464</v>
      </c>
      <c r="J852" s="30">
        <f t="shared" ref="J852" si="4046">E852-E851</f>
        <v>-134</v>
      </c>
      <c r="K852" s="62">
        <f t="shared" ref="K852" si="4047">(F852-F800)/F800</f>
        <v>-6.8552774755168661E-2</v>
      </c>
      <c r="L852" s="48">
        <f t="shared" ref="L852" si="4048">AVERAGE(F696,F748,F800)</f>
        <v>721.33333333333337</v>
      </c>
    </row>
    <row r="853" spans="1:12" ht="14.25" x14ac:dyDescent="0.2">
      <c r="A853" s="21">
        <f t="shared" si="3661"/>
        <v>44562</v>
      </c>
      <c r="B853" s="3">
        <v>222</v>
      </c>
      <c r="C853" s="3">
        <v>38</v>
      </c>
      <c r="D853" s="3">
        <v>124</v>
      </c>
      <c r="E853" s="3">
        <f t="shared" ref="E853" si="4049">SUM(B853:D853)</f>
        <v>384</v>
      </c>
      <c r="F853" s="67">
        <v>833</v>
      </c>
      <c r="G853" s="3">
        <f t="shared" ref="G853" si="4050">F853-E853</f>
        <v>449</v>
      </c>
      <c r="H853" s="49">
        <f t="shared" ref="H853" si="4051">(F853-F852)/F852</f>
        <v>-2.6869158878504672E-2</v>
      </c>
      <c r="I853" s="58">
        <f t="shared" ref="I853" si="4052">(E853-E852)/E852</f>
        <v>-1.5384615384615385E-2</v>
      </c>
      <c r="J853" s="30">
        <f t="shared" ref="J853" si="4053">E853-E852</f>
        <v>-6</v>
      </c>
      <c r="K853" s="62">
        <f t="shared" ref="K853" si="4054">(F853-F801)/F801</f>
        <v>-0.20591039084842708</v>
      </c>
      <c r="L853" s="48">
        <f t="shared" ref="L853" si="4055">AVERAGE(F697,F749,F801)</f>
        <v>777</v>
      </c>
    </row>
    <row r="854" spans="1:12" ht="14.25" x14ac:dyDescent="0.2">
      <c r="A854" s="21">
        <f t="shared" si="3661"/>
        <v>44569</v>
      </c>
      <c r="B854" s="3">
        <v>183</v>
      </c>
      <c r="C854" s="3">
        <v>23</v>
      </c>
      <c r="D854" s="3">
        <v>144</v>
      </c>
      <c r="E854" s="3">
        <f t="shared" ref="E854" si="4056">SUM(B854:D854)</f>
        <v>350</v>
      </c>
      <c r="F854" s="67">
        <v>832</v>
      </c>
      <c r="G854" s="3">
        <f t="shared" ref="G854" si="4057">F854-E854</f>
        <v>482</v>
      </c>
      <c r="H854" s="49">
        <f t="shared" ref="H854" si="4058">(F854-F853)/F853</f>
        <v>-1.2004801920768306E-3</v>
      </c>
      <c r="I854" s="58">
        <f t="shared" ref="I854" si="4059">(E854-E853)/E853</f>
        <v>-8.8541666666666671E-2</v>
      </c>
      <c r="J854" s="30">
        <f t="shared" ref="J854" si="4060">E854-E853</f>
        <v>-34</v>
      </c>
      <c r="K854" s="62">
        <f t="shared" ref="K854" si="4061">(F854-F802)/F802</f>
        <v>-0.21361058601134217</v>
      </c>
      <c r="L854" s="48">
        <f t="shared" ref="L854" si="4062">AVERAGE(F698,F750,F802)</f>
        <v>886.33333333333337</v>
      </c>
    </row>
    <row r="855" spans="1:12" ht="14.25" x14ac:dyDescent="0.2">
      <c r="A855" s="21">
        <f t="shared" si="3661"/>
        <v>44576</v>
      </c>
      <c r="B855" s="3">
        <v>125</v>
      </c>
      <c r="C855" s="3">
        <v>35</v>
      </c>
      <c r="D855" s="3">
        <v>137</v>
      </c>
      <c r="E855" s="3">
        <f t="shared" ref="E855" si="4063">SUM(B855:D855)</f>
        <v>297</v>
      </c>
      <c r="F855" s="67">
        <v>830</v>
      </c>
      <c r="G855" s="3">
        <f t="shared" ref="G855" si="4064">F855-E855</f>
        <v>533</v>
      </c>
      <c r="H855" s="49">
        <f t="shared" ref="H855" si="4065">(F855-F854)/F854</f>
        <v>-2.403846153846154E-3</v>
      </c>
      <c r="I855" s="58">
        <f t="shared" ref="I855" si="4066">(E855-E854)/E854</f>
        <v>-0.15142857142857144</v>
      </c>
      <c r="J855" s="30">
        <f t="shared" ref="J855" si="4067">E855-E854</f>
        <v>-53</v>
      </c>
      <c r="K855" s="62">
        <f t="shared" ref="K855" si="4068">(F855-F803)/F803</f>
        <v>-0.14256198347107438</v>
      </c>
      <c r="L855" s="48">
        <f t="shared" ref="L855" si="4069">AVERAGE(F699,F751,F803)</f>
        <v>763.33333333333337</v>
      </c>
    </row>
    <row r="856" spans="1:12" ht="14.25" x14ac:dyDescent="0.2">
      <c r="A856" s="21">
        <f t="shared" si="3661"/>
        <v>44583</v>
      </c>
      <c r="B856" s="3">
        <v>176</v>
      </c>
      <c r="C856" s="3">
        <v>30</v>
      </c>
      <c r="D856" s="3">
        <v>256</v>
      </c>
      <c r="E856" s="3">
        <f t="shared" ref="E856" si="4070">SUM(B856:D856)</f>
        <v>462</v>
      </c>
      <c r="F856" s="67">
        <v>818</v>
      </c>
      <c r="G856" s="3">
        <f t="shared" ref="G856" si="4071">F856-E856</f>
        <v>356</v>
      </c>
      <c r="H856" s="49">
        <f t="shared" ref="H856" si="4072">(F856-F855)/F855</f>
        <v>-1.4457831325301205E-2</v>
      </c>
      <c r="I856" s="58">
        <f t="shared" ref="I856" si="4073">(E856-E855)/E855</f>
        <v>0.55555555555555558</v>
      </c>
      <c r="J856" s="30">
        <f t="shared" ref="J856" si="4074">E856-E855</f>
        <v>165</v>
      </c>
      <c r="K856" s="62">
        <f t="shared" ref="K856" si="4075">(F856-F804)/F804</f>
        <v>-0.16274309109518936</v>
      </c>
      <c r="L856" s="48">
        <f t="shared" ref="L856" si="4076">AVERAGE(F700,F752,F804)</f>
        <v>834.33333333333337</v>
      </c>
    </row>
    <row r="857" spans="1:12" ht="14.25" x14ac:dyDescent="0.2">
      <c r="A857" s="21">
        <f t="shared" si="3661"/>
        <v>44590</v>
      </c>
      <c r="B857" s="3">
        <v>104</v>
      </c>
      <c r="C857" s="3">
        <v>27</v>
      </c>
      <c r="D857" s="3">
        <v>169</v>
      </c>
      <c r="E857" s="3">
        <f t="shared" ref="E857" si="4077">SUM(B857:D857)</f>
        <v>300</v>
      </c>
      <c r="F857" s="67">
        <v>742</v>
      </c>
      <c r="G857" s="3">
        <f t="shared" ref="G857" si="4078">F857-E857</f>
        <v>442</v>
      </c>
      <c r="H857" s="49">
        <f t="shared" ref="H857" si="4079">(F857-F856)/F856</f>
        <v>-9.2909535452322736E-2</v>
      </c>
      <c r="I857" s="58">
        <f t="shared" ref="I857" si="4080">(E857-E856)/E856</f>
        <v>-0.35064935064935066</v>
      </c>
      <c r="J857" s="30">
        <f t="shared" ref="J857" si="4081">E857-E856</f>
        <v>-162</v>
      </c>
      <c r="K857" s="62">
        <f t="shared" ref="K857" si="4082">(F857-F805)/F805</f>
        <v>-0.17002237136465326</v>
      </c>
      <c r="L857" s="48">
        <f t="shared" ref="L857" si="4083">AVERAGE(F701,F753,F805)</f>
        <v>780.33333333333337</v>
      </c>
    </row>
    <row r="858" spans="1:12" ht="14.25" x14ac:dyDescent="0.2">
      <c r="A858" s="21">
        <f t="shared" si="3661"/>
        <v>44597</v>
      </c>
      <c r="B858" s="3">
        <v>179</v>
      </c>
      <c r="C858" s="3">
        <v>37</v>
      </c>
      <c r="D858" s="3">
        <v>147</v>
      </c>
      <c r="E858" s="3">
        <f t="shared" ref="E858" si="4084">SUM(B858:D858)</f>
        <v>363</v>
      </c>
      <c r="F858" s="67">
        <v>628</v>
      </c>
      <c r="G858" s="3">
        <f t="shared" ref="G858" si="4085">F858-E858</f>
        <v>265</v>
      </c>
      <c r="H858" s="49">
        <f t="shared" ref="H858" si="4086">(F858-F857)/F857</f>
        <v>-0.15363881401617252</v>
      </c>
      <c r="I858" s="58">
        <f t="shared" ref="I858" si="4087">(E858-E857)/E857</f>
        <v>0.21</v>
      </c>
      <c r="J858" s="30">
        <f t="shared" ref="J858" si="4088">E858-E857</f>
        <v>63</v>
      </c>
      <c r="K858" s="62">
        <f t="shared" ref="K858" si="4089">(F858-F806)/F806</f>
        <v>-0.39961759082217974</v>
      </c>
      <c r="L858" s="48">
        <f t="shared" ref="L858" si="4090">AVERAGE(F702,F754,F806)</f>
        <v>758</v>
      </c>
    </row>
    <row r="859" spans="1:12" ht="14.25" x14ac:dyDescent="0.2">
      <c r="A859" s="21">
        <f t="shared" si="3661"/>
        <v>44604</v>
      </c>
      <c r="B859" s="3">
        <v>122</v>
      </c>
      <c r="C859" s="3">
        <v>34</v>
      </c>
      <c r="D859" s="3">
        <v>114</v>
      </c>
      <c r="E859" s="3">
        <f t="shared" ref="E859" si="4091">SUM(B859:D859)</f>
        <v>270</v>
      </c>
      <c r="F859" s="67">
        <v>823</v>
      </c>
      <c r="G859" s="3">
        <f t="shared" ref="G859" si="4092">F859-E859</f>
        <v>553</v>
      </c>
      <c r="H859" s="49">
        <f t="shared" ref="H859" si="4093">(F859-F858)/F858</f>
        <v>0.31050955414012738</v>
      </c>
      <c r="I859" s="58">
        <f t="shared" ref="I859" si="4094">(E859-E858)/E858</f>
        <v>-0.256198347107438</v>
      </c>
      <c r="J859" s="30">
        <f t="shared" ref="J859" si="4095">E859-E858</f>
        <v>-93</v>
      </c>
      <c r="K859" s="62">
        <f t="shared" ref="K859" si="4096">(F859-F807)/F807</f>
        <v>5.9202059202059204E-2</v>
      </c>
      <c r="L859" s="48">
        <f t="shared" ref="L859" si="4097">AVERAGE(F703,F755,F807)</f>
        <v>726.66666666666663</v>
      </c>
    </row>
    <row r="860" spans="1:12" ht="14.25" x14ac:dyDescent="0.2">
      <c r="A860" s="21">
        <f t="shared" si="3661"/>
        <v>44611</v>
      </c>
      <c r="B860" s="3">
        <v>127</v>
      </c>
      <c r="C860" s="3">
        <v>32</v>
      </c>
      <c r="D860" s="3">
        <v>206</v>
      </c>
      <c r="E860" s="3">
        <f t="shared" ref="E860" si="4098">SUM(B860:D860)</f>
        <v>365</v>
      </c>
      <c r="F860" s="67">
        <v>741</v>
      </c>
      <c r="G860" s="3">
        <f t="shared" ref="G860" si="4099">F860-E860</f>
        <v>376</v>
      </c>
      <c r="H860" s="49">
        <f t="shared" ref="H860" si="4100">(F860-F859)/F859</f>
        <v>-9.9635479951397321E-2</v>
      </c>
      <c r="I860" s="58">
        <f t="shared" ref="I860" si="4101">(E860-E859)/E859</f>
        <v>0.35185185185185186</v>
      </c>
      <c r="J860" s="30">
        <f t="shared" ref="J860" si="4102">E860-E859</f>
        <v>95</v>
      </c>
      <c r="K860" s="62">
        <f t="shared" ref="K860" si="4103">(F860-F808)/F808</f>
        <v>9.9406528189910984E-2</v>
      </c>
      <c r="L860" s="48">
        <f t="shared" ref="L860" si="4104">AVERAGE(F704,F756,F808)</f>
        <v>610.33333333333337</v>
      </c>
    </row>
    <row r="861" spans="1:12" ht="14.25" x14ac:dyDescent="0.2">
      <c r="A861" s="21">
        <f t="shared" si="3661"/>
        <v>44618</v>
      </c>
      <c r="B861" s="3">
        <v>148</v>
      </c>
      <c r="C861" s="3">
        <v>40</v>
      </c>
      <c r="D861" s="3">
        <v>142</v>
      </c>
      <c r="E861" s="3">
        <f t="shared" ref="E861" si="4105">SUM(B861:D861)</f>
        <v>330</v>
      </c>
      <c r="F861" s="67">
        <v>732</v>
      </c>
      <c r="G861" s="3">
        <f t="shared" ref="G861" si="4106">F861-E861</f>
        <v>402</v>
      </c>
      <c r="H861" s="49">
        <f t="shared" ref="H861" si="4107">(F861-F860)/F860</f>
        <v>-1.2145748987854251E-2</v>
      </c>
      <c r="I861" s="58">
        <f t="shared" ref="I861" si="4108">(E861-E860)/E860</f>
        <v>-9.5890410958904104E-2</v>
      </c>
      <c r="J861" s="30">
        <f t="shared" ref="J861" si="4109">E861-E860</f>
        <v>-35</v>
      </c>
      <c r="K861" s="62">
        <f t="shared" ref="K861" si="4110">(F861-F809)/F809</f>
        <v>-6.0333761232349167E-2</v>
      </c>
      <c r="L861" s="48">
        <f t="shared" ref="L861" si="4111">AVERAGE(F705,F757,F809)</f>
        <v>590.33333333333337</v>
      </c>
    </row>
    <row r="862" spans="1:12" ht="14.25" x14ac:dyDescent="0.2">
      <c r="A862" s="21">
        <f t="shared" si="3661"/>
        <v>44625</v>
      </c>
      <c r="B862" s="3">
        <v>220</v>
      </c>
      <c r="C862" s="3">
        <v>34</v>
      </c>
      <c r="D862" s="3">
        <v>141</v>
      </c>
      <c r="E862" s="3">
        <f t="shared" ref="E862" si="4112">SUM(B862:D862)</f>
        <v>395</v>
      </c>
      <c r="F862" s="67">
        <v>750</v>
      </c>
      <c r="G862" s="3">
        <f t="shared" ref="G862" si="4113">F862-E862</f>
        <v>355</v>
      </c>
      <c r="H862" s="49">
        <f t="shared" ref="H862" si="4114">(F862-F861)/F861</f>
        <v>2.4590163934426229E-2</v>
      </c>
      <c r="I862" s="58">
        <f t="shared" ref="I862" si="4115">(E862-E861)/E861</f>
        <v>0.19696969696969696</v>
      </c>
      <c r="J862" s="30">
        <f t="shared" ref="J862" si="4116">E862-E861</f>
        <v>65</v>
      </c>
      <c r="K862" s="62">
        <f t="shared" ref="K862" si="4117">(F862-F810)/F810</f>
        <v>-0.12485414235705951</v>
      </c>
      <c r="L862" s="48">
        <f t="shared" ref="L862" si="4118">AVERAGE(F706,F758,F810)</f>
        <v>623</v>
      </c>
    </row>
    <row r="863" spans="1:12" ht="14.25" x14ac:dyDescent="0.2">
      <c r="A863" s="21">
        <f t="shared" si="3661"/>
        <v>44632</v>
      </c>
      <c r="B863" s="3">
        <v>202</v>
      </c>
      <c r="C863" s="3">
        <v>22</v>
      </c>
      <c r="D863" s="3">
        <v>142</v>
      </c>
      <c r="E863" s="3">
        <f t="shared" ref="E863" si="4119">SUM(B863:D863)</f>
        <v>366</v>
      </c>
      <c r="F863" s="67">
        <v>682</v>
      </c>
      <c r="G863" s="3">
        <f t="shared" ref="G863" si="4120">F863-E863</f>
        <v>316</v>
      </c>
      <c r="H863" s="49">
        <f t="shared" ref="H863" si="4121">(F863-F862)/F862</f>
        <v>-9.0666666666666673E-2</v>
      </c>
      <c r="I863" s="58">
        <f t="shared" ref="I863" si="4122">(E863-E862)/E862</f>
        <v>-7.3417721518987344E-2</v>
      </c>
      <c r="J863" s="30">
        <f t="shared" ref="J863" si="4123">E863-E862</f>
        <v>-29</v>
      </c>
      <c r="K863" s="62">
        <f t="shared" ref="K863" si="4124">(F863-F811)/F811</f>
        <v>-0.19858989424206816</v>
      </c>
      <c r="L863" s="48">
        <f t="shared" ref="L863" si="4125">AVERAGE(F707,F759,F811)</f>
        <v>626.33333333333337</v>
      </c>
    </row>
    <row r="864" spans="1:12" ht="14.25" x14ac:dyDescent="0.2">
      <c r="A864" s="21">
        <f t="shared" si="3661"/>
        <v>44639</v>
      </c>
      <c r="B864" s="3">
        <v>206</v>
      </c>
      <c r="C864" s="3">
        <v>29</v>
      </c>
      <c r="D864" s="3">
        <v>185</v>
      </c>
      <c r="E864" s="3">
        <f t="shared" ref="E864" si="4126">SUM(B864:D864)</f>
        <v>420</v>
      </c>
      <c r="F864" s="67">
        <v>639</v>
      </c>
      <c r="G864" s="3">
        <f t="shared" ref="G864" si="4127">F864-E864</f>
        <v>219</v>
      </c>
      <c r="H864" s="49">
        <f t="shared" ref="H864" si="4128">(F864-F863)/F863</f>
        <v>-6.3049853372434017E-2</v>
      </c>
      <c r="I864" s="58">
        <f t="shared" ref="I864" si="4129">(E864-E863)/E863</f>
        <v>0.14754098360655737</v>
      </c>
      <c r="J864" s="30">
        <f t="shared" ref="J864" si="4130">E864-E863</f>
        <v>54</v>
      </c>
      <c r="K864" s="62">
        <f t="shared" ref="K864" si="4131">(F864-F812)/F812</f>
        <v>-0.16688396349413298</v>
      </c>
      <c r="L864" s="48">
        <f t="shared" ref="L864" si="4132">AVERAGE(F708,F760,F812)</f>
        <v>657.33333333333337</v>
      </c>
    </row>
    <row r="865" spans="1:12" ht="14.25" x14ac:dyDescent="0.2">
      <c r="A865" s="21">
        <f t="shared" si="3661"/>
        <v>44646</v>
      </c>
      <c r="B865" s="3">
        <v>243</v>
      </c>
      <c r="C865" s="3">
        <v>33</v>
      </c>
      <c r="D865" s="3">
        <v>216</v>
      </c>
      <c r="E865" s="3">
        <f t="shared" ref="E865" si="4133">SUM(B865:D865)</f>
        <v>492</v>
      </c>
      <c r="F865" s="67">
        <v>753</v>
      </c>
      <c r="G865" s="3">
        <f t="shared" ref="G865" si="4134">F865-E865</f>
        <v>261</v>
      </c>
      <c r="H865" s="49">
        <f t="shared" ref="H865" si="4135">(F865-F864)/F864</f>
        <v>0.17840375586854459</v>
      </c>
      <c r="I865" s="58">
        <f t="shared" ref="I865" si="4136">(E865-E864)/E864</f>
        <v>0.17142857142857143</v>
      </c>
      <c r="J865" s="30">
        <f t="shared" ref="J865" si="4137">E865-E864</f>
        <v>72</v>
      </c>
      <c r="K865" s="62">
        <f t="shared" ref="K865" si="4138">(F865-F813)/F813</f>
        <v>0.20673076923076922</v>
      </c>
      <c r="L865" s="48">
        <f t="shared" ref="L865" si="4139">AVERAGE(F709,F761,F813)</f>
        <v>621.66666666666663</v>
      </c>
    </row>
    <row r="866" spans="1:12" ht="14.25" x14ac:dyDescent="0.2">
      <c r="A866" s="21">
        <f t="shared" si="3661"/>
        <v>44653</v>
      </c>
      <c r="B866" s="3">
        <v>254</v>
      </c>
      <c r="C866" s="3">
        <v>28</v>
      </c>
      <c r="D866" s="3">
        <v>122</v>
      </c>
      <c r="E866" s="3">
        <f t="shared" ref="E866" si="4140">SUM(B866:D866)</f>
        <v>404</v>
      </c>
      <c r="F866" s="67">
        <v>711</v>
      </c>
      <c r="G866" s="3">
        <f t="shared" ref="G866" si="4141">F866-E866</f>
        <v>307</v>
      </c>
      <c r="H866" s="49">
        <f t="shared" ref="H866" si="4142">(F866-F865)/F865</f>
        <v>-5.5776892430278883E-2</v>
      </c>
      <c r="I866" s="58">
        <f t="shared" ref="I866" si="4143">(E866-E865)/E865</f>
        <v>-0.17886178861788618</v>
      </c>
      <c r="J866" s="30">
        <f t="shared" ref="J866" si="4144">E866-E865</f>
        <v>-88</v>
      </c>
      <c r="K866" s="62">
        <f t="shared" ref="K866" si="4145">(F866-F814)/F814</f>
        <v>1.7167381974248927E-2</v>
      </c>
      <c r="L866" s="48">
        <f t="shared" ref="L866" si="4146">AVERAGE(F710,F762,F814)</f>
        <v>600.66666666666663</v>
      </c>
    </row>
    <row r="867" spans="1:12" ht="14.25" x14ac:dyDescent="0.2">
      <c r="A867" s="21">
        <f t="shared" si="3661"/>
        <v>44660</v>
      </c>
      <c r="B867" s="3">
        <v>301</v>
      </c>
      <c r="C867" s="3">
        <v>24</v>
      </c>
      <c r="D867" s="3">
        <v>184</v>
      </c>
      <c r="E867" s="3">
        <f t="shared" ref="E867" si="4147">SUM(B867:D867)</f>
        <v>509</v>
      </c>
      <c r="F867" s="67">
        <v>842</v>
      </c>
      <c r="G867" s="3">
        <f t="shared" ref="G867" si="4148">F867-E867</f>
        <v>333</v>
      </c>
      <c r="H867" s="49">
        <f t="shared" ref="H867" si="4149">(F867-F866)/F866</f>
        <v>0.18424753867791843</v>
      </c>
      <c r="I867" s="58">
        <f t="shared" ref="I867" si="4150">(E867-E866)/E866</f>
        <v>0.25990099009900991</v>
      </c>
      <c r="J867" s="30">
        <f t="shared" ref="J867" si="4151">E867-E866</f>
        <v>105</v>
      </c>
      <c r="K867" s="62">
        <f t="shared" ref="K867" si="4152">(F867-F815)/F815</f>
        <v>0.30745341614906835</v>
      </c>
      <c r="L867" s="48">
        <f t="shared" ref="L867" si="4153">AVERAGE(F711,F763,F815)</f>
        <v>572.33333333333337</v>
      </c>
    </row>
    <row r="868" spans="1:12" ht="14.25" x14ac:dyDescent="0.2">
      <c r="A868" s="21">
        <f t="shared" si="3661"/>
        <v>44667</v>
      </c>
      <c r="B868" s="3">
        <v>386</v>
      </c>
      <c r="C868" s="3">
        <v>34</v>
      </c>
      <c r="D868" s="3">
        <v>131</v>
      </c>
      <c r="E868" s="3">
        <f t="shared" ref="E868" si="4154">SUM(B868:D868)</f>
        <v>551</v>
      </c>
      <c r="F868" s="67">
        <v>747</v>
      </c>
      <c r="G868" s="3">
        <f t="shared" ref="G868" si="4155">F868-E868</f>
        <v>196</v>
      </c>
      <c r="H868" s="49">
        <f t="shared" ref="H868" si="4156">(F868-F867)/F867</f>
        <v>-0.11282660332541568</v>
      </c>
      <c r="I868" s="58">
        <f t="shared" ref="I868" si="4157">(E868-E867)/E867</f>
        <v>8.2514734774066803E-2</v>
      </c>
      <c r="J868" s="30">
        <f t="shared" ref="J868" si="4158">E868-E867</f>
        <v>42</v>
      </c>
      <c r="K868" s="62">
        <f t="shared" ref="K868" si="4159">(F868-F816)/F816</f>
        <v>0.19329073482428116</v>
      </c>
      <c r="L868" s="48">
        <f t="shared" ref="L868" si="4160">AVERAGE(F712,F764,F816)</f>
        <v>589.66666666666663</v>
      </c>
    </row>
    <row r="869" spans="1:12" ht="14.25" x14ac:dyDescent="0.2">
      <c r="A869" s="21">
        <f t="shared" si="3661"/>
        <v>44674</v>
      </c>
      <c r="B869" s="3">
        <v>360</v>
      </c>
      <c r="C869" s="3">
        <v>34</v>
      </c>
      <c r="D869" s="3">
        <v>155</v>
      </c>
      <c r="E869" s="3">
        <f t="shared" ref="E869" si="4161">SUM(B869:D869)</f>
        <v>549</v>
      </c>
      <c r="F869" s="67">
        <v>733</v>
      </c>
      <c r="G869" s="3">
        <f t="shared" ref="G869" si="4162">F869-E869</f>
        <v>184</v>
      </c>
      <c r="H869" s="49">
        <f t="shared" ref="H869" si="4163">(F869-F868)/F868</f>
        <v>-1.8741633199464525E-2</v>
      </c>
      <c r="I869" s="58">
        <f t="shared" ref="I869" si="4164">(E869-E868)/E868</f>
        <v>-3.629764065335753E-3</v>
      </c>
      <c r="J869" s="30">
        <f t="shared" ref="J869" si="4165">E869-E868</f>
        <v>-2</v>
      </c>
      <c r="K869" s="62">
        <f t="shared" ref="K869" si="4166">(F869-F817)/F817</f>
        <v>5.4869684499314125E-3</v>
      </c>
      <c r="L869" s="48">
        <f t="shared" ref="L869" si="4167">AVERAGE(F713,F765,F817)</f>
        <v>645.66666666666663</v>
      </c>
    </row>
    <row r="870" spans="1:12" ht="14.25" x14ac:dyDescent="0.2">
      <c r="A870" s="21">
        <f t="shared" si="3661"/>
        <v>44681</v>
      </c>
      <c r="B870" s="3">
        <v>353</v>
      </c>
      <c r="C870" s="3">
        <v>12</v>
      </c>
      <c r="D870" s="3">
        <v>128</v>
      </c>
      <c r="E870" s="3">
        <f t="shared" ref="E870" si="4168">SUM(B870:D870)</f>
        <v>493</v>
      </c>
      <c r="F870" s="67">
        <v>680</v>
      </c>
      <c r="G870" s="3">
        <f t="shared" ref="G870" si="4169">F870-E870</f>
        <v>187</v>
      </c>
      <c r="H870" s="49">
        <f t="shared" ref="H870" si="4170">(F870-F869)/F869</f>
        <v>-7.2305593451568895E-2</v>
      </c>
      <c r="I870" s="58">
        <f t="shared" ref="I870" si="4171">(E870-E869)/E869</f>
        <v>-0.10200364298724955</v>
      </c>
      <c r="J870" s="30">
        <f t="shared" ref="J870" si="4172">E870-E869</f>
        <v>-56</v>
      </c>
      <c r="K870" s="62">
        <f t="shared" ref="K870" si="4173">(F870-F818)/F818</f>
        <v>-0.15945611866501855</v>
      </c>
      <c r="L870" s="48">
        <f t="shared" ref="L870" si="4174">AVERAGE(F714,F766,F818)</f>
        <v>657.66666666666663</v>
      </c>
    </row>
    <row r="871" spans="1:12" ht="14.25" x14ac:dyDescent="0.2">
      <c r="A871" s="21">
        <f t="shared" si="3661"/>
        <v>44688</v>
      </c>
      <c r="B871" s="3">
        <v>402</v>
      </c>
      <c r="C871" s="3">
        <v>11</v>
      </c>
      <c r="D871" s="3">
        <v>136</v>
      </c>
      <c r="E871" s="3">
        <f t="shared" ref="E871" si="4175">SUM(B871:D871)</f>
        <v>549</v>
      </c>
      <c r="F871" s="67">
        <v>594</v>
      </c>
      <c r="G871" s="3">
        <f t="shared" ref="G871" si="4176">F871-E871</f>
        <v>45</v>
      </c>
      <c r="H871" s="49">
        <f t="shared" ref="H871" si="4177">(F871-F870)/F870</f>
        <v>-0.12647058823529411</v>
      </c>
      <c r="I871" s="58">
        <f t="shared" ref="I871" si="4178">(E871-E870)/E870</f>
        <v>0.11359026369168357</v>
      </c>
      <c r="J871" s="30">
        <f t="shared" ref="J871" si="4179">E871-E870</f>
        <v>56</v>
      </c>
      <c r="K871" s="62">
        <f t="shared" ref="K871" si="4180">(F871-F819)/F819</f>
        <v>-0.22352941176470589</v>
      </c>
      <c r="L871" s="48">
        <f t="shared" ref="L871" si="4181">AVERAGE(F715,F767,F819)</f>
        <v>639.33333333333337</v>
      </c>
    </row>
    <row r="872" spans="1:12" ht="14.25" x14ac:dyDescent="0.2">
      <c r="A872" s="21">
        <f t="shared" si="3661"/>
        <v>44695</v>
      </c>
      <c r="B872" s="3">
        <v>375</v>
      </c>
      <c r="C872" s="3">
        <v>21</v>
      </c>
      <c r="D872" s="3">
        <v>117</v>
      </c>
      <c r="E872" s="3">
        <f t="shared" ref="E872" si="4182">SUM(B872:D872)</f>
        <v>513</v>
      </c>
      <c r="F872" s="67">
        <v>683</v>
      </c>
      <c r="G872" s="3">
        <f t="shared" ref="G872" si="4183">F872-E872</f>
        <v>170</v>
      </c>
      <c r="H872" s="49">
        <f t="shared" ref="H872" si="4184">(F872-F871)/F871</f>
        <v>0.14983164983164984</v>
      </c>
      <c r="I872" s="58">
        <f t="shared" ref="I872" si="4185">(E872-E871)/E871</f>
        <v>-6.5573770491803282E-2</v>
      </c>
      <c r="J872" s="30">
        <f t="shared" ref="J872" si="4186">E872-E871</f>
        <v>-36</v>
      </c>
      <c r="K872" s="62">
        <f t="shared" ref="K872" si="4187">(F872-F820)/F820</f>
        <v>-0.15049751243781095</v>
      </c>
      <c r="L872" s="48">
        <f t="shared" ref="L872" si="4188">AVERAGE(F716,F768,F820)</f>
        <v>610.66666666666663</v>
      </c>
    </row>
    <row r="873" spans="1:12" ht="14.25" x14ac:dyDescent="0.2">
      <c r="A873" s="21">
        <f t="shared" si="3661"/>
        <v>44702</v>
      </c>
      <c r="B873" s="3">
        <v>377</v>
      </c>
      <c r="C873" s="3">
        <v>16</v>
      </c>
      <c r="D873" s="3">
        <v>56</v>
      </c>
      <c r="E873" s="3">
        <f t="shared" ref="E873" si="4189">SUM(B873:D873)</f>
        <v>449</v>
      </c>
      <c r="F873" s="67">
        <v>774</v>
      </c>
      <c r="G873" s="3">
        <f t="shared" ref="G873" si="4190">F873-E873</f>
        <v>325</v>
      </c>
      <c r="H873" s="49">
        <f t="shared" ref="H873" si="4191">(F873-F872)/F872</f>
        <v>0.13323572474377746</v>
      </c>
      <c r="I873" s="58">
        <f t="shared" ref="I873" si="4192">(E873-E872)/E872</f>
        <v>-0.12475633528265107</v>
      </c>
      <c r="J873" s="30">
        <f t="shared" ref="J873" si="4193">E873-E872</f>
        <v>-64</v>
      </c>
      <c r="K873" s="62">
        <f t="shared" ref="K873" si="4194">(F873-F821)/F821</f>
        <v>8.4033613445378158E-2</v>
      </c>
      <c r="L873" s="48">
        <f t="shared" ref="L873" si="4195">AVERAGE(F717,F769,F821)</f>
        <v>597.33333333333337</v>
      </c>
    </row>
    <row r="874" spans="1:12" ht="14.25" x14ac:dyDescent="0.2">
      <c r="A874" s="21">
        <f t="shared" si="3661"/>
        <v>44709</v>
      </c>
      <c r="B874" s="3">
        <v>480</v>
      </c>
      <c r="C874" s="3">
        <v>24</v>
      </c>
      <c r="D874" s="3">
        <v>90</v>
      </c>
      <c r="E874" s="3">
        <f t="shared" ref="E874" si="4196">SUM(B874:D874)</f>
        <v>594</v>
      </c>
      <c r="F874" s="67">
        <v>475</v>
      </c>
      <c r="G874" s="3">
        <f t="shared" ref="G874" si="4197">F874-E874</f>
        <v>-119</v>
      </c>
      <c r="H874" s="49">
        <f t="shared" ref="H874" si="4198">(F874-F873)/F873</f>
        <v>-0.3863049095607235</v>
      </c>
      <c r="I874" s="58">
        <f t="shared" ref="I874" si="4199">(E874-E873)/E873</f>
        <v>0.32293986636971045</v>
      </c>
      <c r="J874" s="30">
        <f t="shared" ref="J874" si="4200">E874-E873</f>
        <v>145</v>
      </c>
      <c r="K874" s="62">
        <f t="shared" ref="K874" si="4201">(F874-F822)/F822</f>
        <v>-0.38867438867438869</v>
      </c>
      <c r="L874" s="48">
        <f t="shared" ref="L874" si="4202">AVERAGE(F718,F770,F822)</f>
        <v>611.66666666666663</v>
      </c>
    </row>
    <row r="875" spans="1:12" ht="14.25" x14ac:dyDescent="0.2">
      <c r="A875" s="21">
        <f t="shared" si="3661"/>
        <v>44716</v>
      </c>
      <c r="B875" s="3">
        <v>282</v>
      </c>
      <c r="C875" s="3">
        <v>23</v>
      </c>
      <c r="D875" s="3">
        <v>64</v>
      </c>
      <c r="E875" s="3">
        <f t="shared" ref="E875" si="4203">SUM(B875:D875)</f>
        <v>369</v>
      </c>
      <c r="F875" s="67">
        <v>563</v>
      </c>
      <c r="G875" s="3">
        <f t="shared" ref="G875" si="4204">F875-E875</f>
        <v>194</v>
      </c>
      <c r="H875" s="49">
        <f t="shared" ref="H875" si="4205">(F875-F874)/F874</f>
        <v>0.18526315789473685</v>
      </c>
      <c r="I875" s="58">
        <f t="shared" ref="I875" si="4206">(E875-E874)/E874</f>
        <v>-0.37878787878787878</v>
      </c>
      <c r="J875" s="30">
        <f t="shared" ref="J875" si="4207">E875-E874</f>
        <v>-225</v>
      </c>
      <c r="K875" s="62">
        <f t="shared" ref="K875" si="4208">(F875-F823)/F823</f>
        <v>-6.1666666666666668E-2</v>
      </c>
      <c r="L875" s="48">
        <f t="shared" ref="L875" si="4209">AVERAGE(F719,F771,F823)</f>
        <v>551</v>
      </c>
    </row>
    <row r="876" spans="1:12" ht="14.25" x14ac:dyDescent="0.2">
      <c r="A876" s="21">
        <f t="shared" si="3661"/>
        <v>44723</v>
      </c>
      <c r="B876" s="3">
        <v>446</v>
      </c>
      <c r="C876" s="3">
        <v>20</v>
      </c>
      <c r="D876" s="3">
        <v>62</v>
      </c>
      <c r="E876" s="3">
        <f t="shared" ref="E876" si="4210">SUM(B876:D876)</f>
        <v>528</v>
      </c>
      <c r="F876" s="67">
        <v>704</v>
      </c>
      <c r="G876" s="3">
        <f t="shared" ref="G876" si="4211">F876-E876</f>
        <v>176</v>
      </c>
      <c r="H876" s="49">
        <f t="shared" ref="H876" si="4212">(F876-F875)/F875</f>
        <v>0.25044404973357015</v>
      </c>
      <c r="I876" s="58">
        <f t="shared" ref="I876" si="4213">(E876-E875)/E875</f>
        <v>0.43089430894308944</v>
      </c>
      <c r="J876" s="30">
        <f t="shared" ref="J876" si="4214">E876-E875</f>
        <v>159</v>
      </c>
      <c r="K876" s="62">
        <f t="shared" ref="K876" si="4215">(F876-F824)/F824</f>
        <v>-1.6759776536312849E-2</v>
      </c>
      <c r="L876" s="48">
        <f t="shared" ref="L876" si="4216">AVERAGE(F720,F772,F824)</f>
        <v>526.33333333333337</v>
      </c>
    </row>
    <row r="877" spans="1:12" ht="14.25" x14ac:dyDescent="0.2">
      <c r="A877" s="21">
        <f t="shared" si="3661"/>
        <v>44730</v>
      </c>
      <c r="B877" s="3">
        <v>443</v>
      </c>
      <c r="C877" s="3">
        <v>21</v>
      </c>
      <c r="D877" s="3">
        <v>60</v>
      </c>
      <c r="E877" s="3">
        <f t="shared" ref="E877" si="4217">SUM(B877:D877)</f>
        <v>524</v>
      </c>
      <c r="F877" s="67">
        <v>494</v>
      </c>
      <c r="G877" s="3">
        <f t="shared" ref="G877" si="4218">F877-E877</f>
        <v>-30</v>
      </c>
      <c r="H877" s="49">
        <f t="shared" ref="H877" si="4219">(F877-F876)/F876</f>
        <v>-0.29829545454545453</v>
      </c>
      <c r="I877" s="58">
        <f t="shared" ref="I877" si="4220">(E877-E876)/E876</f>
        <v>-7.575757575757576E-3</v>
      </c>
      <c r="J877" s="30">
        <f t="shared" ref="J877" si="4221">E877-E876</f>
        <v>-4</v>
      </c>
      <c r="K877" s="62">
        <f t="shared" ref="K877" si="4222">(F877-F825)/F825</f>
        <v>-0.22327044025157233</v>
      </c>
      <c r="L877" s="48">
        <f t="shared" ref="L877" si="4223">AVERAGE(F721,F773,F825)</f>
        <v>515.66666666666663</v>
      </c>
    </row>
    <row r="878" spans="1:12" ht="14.25" x14ac:dyDescent="0.2">
      <c r="A878" s="21">
        <f t="shared" si="3661"/>
        <v>44737</v>
      </c>
      <c r="B878" s="3">
        <v>335</v>
      </c>
      <c r="C878" s="3">
        <v>13</v>
      </c>
      <c r="D878" s="3">
        <v>62</v>
      </c>
      <c r="E878" s="3">
        <f t="shared" ref="E878:E879" si="4224">SUM(B878:D878)</f>
        <v>410</v>
      </c>
      <c r="F878" s="67">
        <v>463</v>
      </c>
      <c r="G878" s="3">
        <f t="shared" ref="G878" si="4225">F878-E878</f>
        <v>53</v>
      </c>
      <c r="H878" s="49">
        <f t="shared" ref="H878" si="4226">(F878-F877)/F877</f>
        <v>-6.2753036437246959E-2</v>
      </c>
      <c r="I878" s="58">
        <f t="shared" ref="I878" si="4227">(E878-E877)/E877</f>
        <v>-0.21755725190839695</v>
      </c>
      <c r="J878" s="30">
        <f t="shared" ref="J878" si="4228">E878-E877</f>
        <v>-114</v>
      </c>
      <c r="K878" s="62">
        <f t="shared" ref="K878" si="4229">(F878-F826)/F826</f>
        <v>9.1981132075471692E-2</v>
      </c>
      <c r="L878" s="48">
        <f t="shared" ref="L878" si="4230">AVERAGE(F722,F774,F826)</f>
        <v>475.33333333333331</v>
      </c>
    </row>
    <row r="879" spans="1:12" ht="14.25" x14ac:dyDescent="0.2">
      <c r="A879" s="21">
        <f t="shared" si="3661"/>
        <v>44744</v>
      </c>
      <c r="B879" s="3">
        <v>464</v>
      </c>
      <c r="C879" s="3">
        <v>51</v>
      </c>
      <c r="D879" s="3">
        <v>80</v>
      </c>
      <c r="E879" s="3">
        <f t="shared" si="4224"/>
        <v>595</v>
      </c>
      <c r="F879" s="67">
        <v>397</v>
      </c>
      <c r="G879" s="3">
        <f t="shared" ref="G879" si="4231">F879-E879</f>
        <v>-198</v>
      </c>
      <c r="H879" s="49">
        <f t="shared" ref="H879" si="4232">(F879-F878)/F878</f>
        <v>-0.14254859611231102</v>
      </c>
      <c r="I879" s="58">
        <f t="shared" ref="I879" si="4233">(E879-E878)/E878</f>
        <v>0.45121951219512196</v>
      </c>
      <c r="J879" s="30">
        <f t="shared" ref="J879" si="4234">E879-E878</f>
        <v>185</v>
      </c>
      <c r="K879" s="62">
        <f t="shared" ref="K879" si="4235">(F879-F827)/F827</f>
        <v>-0.28980322003577819</v>
      </c>
      <c r="L879" s="48">
        <f t="shared" ref="L879" si="4236">AVERAGE(F723,F775,F827)</f>
        <v>542.66666666666663</v>
      </c>
    </row>
    <row r="880" spans="1:12" ht="14.25" x14ac:dyDescent="0.2">
      <c r="A880" s="21">
        <f t="shared" si="3661"/>
        <v>44751</v>
      </c>
      <c r="B880" s="3">
        <v>335</v>
      </c>
      <c r="C880" s="3">
        <v>31</v>
      </c>
      <c r="D880" s="3">
        <v>89</v>
      </c>
      <c r="E880" s="3">
        <f t="shared" ref="E880" si="4237">SUM(B880:D880)</f>
        <v>455</v>
      </c>
      <c r="F880" s="67">
        <v>584</v>
      </c>
      <c r="G880" s="3">
        <f t="shared" ref="G880" si="4238">F880-E880</f>
        <v>129</v>
      </c>
      <c r="H880" s="49">
        <f t="shared" ref="H880" si="4239">(F880-F879)/F879</f>
        <v>0.47103274559193953</v>
      </c>
      <c r="I880" s="58">
        <f t="shared" ref="I880" si="4240">(E880-E879)/E879</f>
        <v>-0.23529411764705882</v>
      </c>
      <c r="J880" s="30">
        <f t="shared" ref="J880" si="4241">E880-E879</f>
        <v>-140</v>
      </c>
      <c r="K880" s="62">
        <f t="shared" ref="K880" si="4242">(F880-F828)/F828</f>
        <v>9.5684803001876179E-2</v>
      </c>
      <c r="L880" s="48">
        <f t="shared" ref="L880" si="4243">AVERAGE(F724,F776,F828)</f>
        <v>500.66666666666669</v>
      </c>
    </row>
    <row r="881" spans="1:12" ht="14.25" x14ac:dyDescent="0.2">
      <c r="A881" s="21">
        <f t="shared" si="3661"/>
        <v>44758</v>
      </c>
      <c r="B881" s="3">
        <v>330</v>
      </c>
      <c r="C881" s="3">
        <v>34</v>
      </c>
      <c r="D881" s="3">
        <v>82</v>
      </c>
      <c r="E881" s="3">
        <f t="shared" ref="E881" si="4244">SUM(B881:D881)</f>
        <v>446</v>
      </c>
      <c r="F881" s="67">
        <v>592</v>
      </c>
      <c r="G881" s="3">
        <f t="shared" ref="G881" si="4245">F881-E881</f>
        <v>146</v>
      </c>
      <c r="H881" s="49">
        <f t="shared" ref="H881" si="4246">(F881-F880)/F880</f>
        <v>1.3698630136986301E-2</v>
      </c>
      <c r="I881" s="58">
        <f t="shared" ref="I881" si="4247">(E881-E880)/E880</f>
        <v>-1.9780219780219779E-2</v>
      </c>
      <c r="J881" s="30">
        <f t="shared" ref="J881" si="4248">E881-E880</f>
        <v>-9</v>
      </c>
      <c r="K881" s="62">
        <f t="shared" ref="K881" si="4249">(F881-F829)/F829</f>
        <v>9.8330241187384038E-2</v>
      </c>
      <c r="L881" s="48">
        <f t="shared" ref="L881" si="4250">AVERAGE(F725,F777,F829)</f>
        <v>514.66666666666663</v>
      </c>
    </row>
    <row r="882" spans="1:12" ht="14.25" x14ac:dyDescent="0.2">
      <c r="A882" s="21">
        <f t="shared" si="3661"/>
        <v>44765</v>
      </c>
      <c r="B882" s="3">
        <v>289</v>
      </c>
      <c r="C882" s="3">
        <v>23</v>
      </c>
      <c r="D882" s="3">
        <v>59</v>
      </c>
      <c r="E882" s="3">
        <f t="shared" ref="E882" si="4251">SUM(B882:D882)</f>
        <v>371</v>
      </c>
      <c r="F882" s="67">
        <v>510</v>
      </c>
      <c r="G882" s="3">
        <f t="shared" ref="G882" si="4252">F882-E882</f>
        <v>139</v>
      </c>
      <c r="H882" s="49">
        <f t="shared" ref="H882" si="4253">(F882-F881)/F881</f>
        <v>-0.13851351351351351</v>
      </c>
      <c r="I882" s="58">
        <f t="shared" ref="I882" si="4254">(E882-E881)/E881</f>
        <v>-0.16816143497757849</v>
      </c>
      <c r="J882" s="30">
        <f t="shared" ref="J882" si="4255">E882-E881</f>
        <v>-75</v>
      </c>
      <c r="K882" s="62">
        <f t="shared" ref="K882" si="4256">(F882-F830)/F830</f>
        <v>-0.27246790299572038</v>
      </c>
      <c r="L882" s="48">
        <f t="shared" ref="L882" si="4257">AVERAGE(F726,F778,F830)</f>
        <v>608.66666666666663</v>
      </c>
    </row>
    <row r="883" spans="1:12" ht="14.25" x14ac:dyDescent="0.2">
      <c r="A883" s="21">
        <f t="shared" si="3661"/>
        <v>44772</v>
      </c>
      <c r="B883" s="3">
        <v>298</v>
      </c>
      <c r="C883" s="3">
        <v>28</v>
      </c>
      <c r="D883" s="3">
        <v>133</v>
      </c>
      <c r="E883" s="3">
        <f t="shared" ref="E883" si="4258">SUM(B883:D883)</f>
        <v>459</v>
      </c>
      <c r="F883" s="67">
        <v>750</v>
      </c>
      <c r="G883" s="3">
        <f t="shared" ref="G883" si="4259">F883-E883</f>
        <v>291</v>
      </c>
      <c r="H883" s="49">
        <f t="shared" ref="H883" si="4260">(F883-F882)/F882</f>
        <v>0.47058823529411764</v>
      </c>
      <c r="I883" s="58">
        <f t="shared" ref="I883" si="4261">(E883-E882)/E882</f>
        <v>0.23719676549865229</v>
      </c>
      <c r="J883" s="30">
        <f t="shared" ref="J883" si="4262">E883-E882</f>
        <v>88</v>
      </c>
      <c r="K883" s="62">
        <f t="shared" ref="K883" si="4263">(F883-F831)/F831</f>
        <v>0.15384615384615385</v>
      </c>
      <c r="L883" s="48">
        <f t="shared" ref="L883" si="4264">AVERAGE(F727,F779,F831)</f>
        <v>642</v>
      </c>
    </row>
    <row r="884" spans="1:12" ht="14.25" x14ac:dyDescent="0.2">
      <c r="A884" s="21">
        <f t="shared" si="3661"/>
        <v>44779</v>
      </c>
      <c r="B884" s="3">
        <v>389</v>
      </c>
      <c r="C884" s="3">
        <v>17</v>
      </c>
      <c r="D884" s="3">
        <v>72</v>
      </c>
      <c r="E884" s="3">
        <f t="shared" ref="E884" si="4265">SUM(B884:D884)</f>
        <v>478</v>
      </c>
      <c r="F884" s="67">
        <v>681</v>
      </c>
      <c r="G884" s="3">
        <f t="shared" ref="G884" si="4266">F884-E884</f>
        <v>203</v>
      </c>
      <c r="H884" s="49">
        <f t="shared" ref="H884" si="4267">(F884-F883)/F883</f>
        <v>-9.1999999999999998E-2</v>
      </c>
      <c r="I884" s="58">
        <f t="shared" ref="I884" si="4268">(E884-E883)/E883</f>
        <v>4.1394335511982572E-2</v>
      </c>
      <c r="J884" s="30">
        <f t="shared" ref="J884" si="4269">E884-E883</f>
        <v>19</v>
      </c>
      <c r="K884" s="62">
        <f t="shared" ref="K884" si="4270">(F884-F832)/F832</f>
        <v>0.17413793103448275</v>
      </c>
      <c r="L884" s="48">
        <f t="shared" ref="L884" si="4271">AVERAGE(F728,F780,F832)</f>
        <v>694</v>
      </c>
    </row>
    <row r="885" spans="1:12" ht="14.25" x14ac:dyDescent="0.2">
      <c r="A885" s="21">
        <f t="shared" si="3661"/>
        <v>44786</v>
      </c>
      <c r="B885" s="3">
        <v>235</v>
      </c>
      <c r="C885" s="3">
        <v>22</v>
      </c>
      <c r="D885" s="3">
        <v>84</v>
      </c>
      <c r="E885" s="3">
        <f t="shared" ref="E885" si="4272">SUM(B885:D885)</f>
        <v>341</v>
      </c>
      <c r="F885" s="67">
        <v>473</v>
      </c>
      <c r="G885" s="3">
        <f t="shared" ref="G885" si="4273">F885-E885</f>
        <v>132</v>
      </c>
      <c r="H885" s="49">
        <f t="shared" ref="H885" si="4274">(F885-F884)/F884</f>
        <v>-0.3054331864904552</v>
      </c>
      <c r="I885" s="58">
        <f t="shared" ref="I885" si="4275">(E885-E884)/E884</f>
        <v>-0.28661087866108786</v>
      </c>
      <c r="J885" s="30">
        <f t="shared" ref="J885" si="4276">E885-E884</f>
        <v>-137</v>
      </c>
      <c r="K885" s="62">
        <f t="shared" ref="K885" si="4277">(F885-F833)/F833</f>
        <v>-7.6171875E-2</v>
      </c>
      <c r="L885" s="48">
        <f t="shared" ref="L885" si="4278">AVERAGE(F729,F781,F833)</f>
        <v>642.66666666666663</v>
      </c>
    </row>
    <row r="886" spans="1:12" ht="14.25" x14ac:dyDescent="0.2">
      <c r="A886" s="21">
        <f t="shared" si="3661"/>
        <v>44793</v>
      </c>
      <c r="B886" s="3">
        <v>160</v>
      </c>
      <c r="C886" s="3">
        <v>21</v>
      </c>
      <c r="D886" s="3">
        <v>39</v>
      </c>
      <c r="E886" s="3">
        <f t="shared" ref="E886" si="4279">SUM(B886:D886)</f>
        <v>220</v>
      </c>
      <c r="F886" s="67">
        <v>649</v>
      </c>
      <c r="G886" s="3">
        <f t="shared" ref="G886" si="4280">F886-E886</f>
        <v>429</v>
      </c>
      <c r="H886" s="49">
        <f t="shared" ref="H886" si="4281">(F886-F885)/F885</f>
        <v>0.37209302325581395</v>
      </c>
      <c r="I886" s="58">
        <f t="shared" ref="I886" si="4282">(E886-E885)/E885</f>
        <v>-0.35483870967741937</v>
      </c>
      <c r="J886" s="30">
        <f t="shared" ref="J886" si="4283">E886-E885</f>
        <v>-121</v>
      </c>
      <c r="K886" s="62">
        <f t="shared" ref="K886" si="4284">(F886-F834)/F834</f>
        <v>0.3326488706365503</v>
      </c>
      <c r="L886" s="48">
        <f t="shared" ref="L886" si="4285">AVERAGE(F730,F782,F834)</f>
        <v>588.66666666666663</v>
      </c>
    </row>
    <row r="887" spans="1:12" ht="14.25" x14ac:dyDescent="0.2">
      <c r="A887" s="21">
        <f t="shared" si="3661"/>
        <v>44800</v>
      </c>
      <c r="B887" s="3">
        <v>174</v>
      </c>
      <c r="C887" s="3">
        <v>18</v>
      </c>
      <c r="D887" s="3">
        <v>43</v>
      </c>
      <c r="E887" s="3">
        <f t="shared" ref="E887" si="4286">SUM(B887:D887)</f>
        <v>235</v>
      </c>
      <c r="F887" s="67">
        <v>513</v>
      </c>
      <c r="G887" s="3">
        <f t="shared" ref="G887" si="4287">F887-E887</f>
        <v>278</v>
      </c>
      <c r="H887" s="49">
        <f t="shared" ref="H887" si="4288">(F887-F886)/F886</f>
        <v>-0.20955315870570107</v>
      </c>
      <c r="I887" s="58">
        <f t="shared" ref="I887" si="4289">(E887-E886)/E886</f>
        <v>6.8181818181818177E-2</v>
      </c>
      <c r="J887" s="30">
        <f t="shared" ref="J887" si="4290">E887-E886</f>
        <v>15</v>
      </c>
      <c r="K887" s="62" t="e">
        <f t="shared" ref="K887" si="4291">(F887-F835)/F835</f>
        <v>#N/A</v>
      </c>
      <c r="L887" s="48" t="e">
        <f t="shared" ref="L887" si="4292">AVERAGE(F731,F783,F835)</f>
        <v>#N/A</v>
      </c>
    </row>
    <row r="888" spans="1:12" ht="14.25" x14ac:dyDescent="0.2">
      <c r="A888" s="21">
        <f t="shared" si="3661"/>
        <v>44807</v>
      </c>
      <c r="B888" s="3">
        <v>119</v>
      </c>
      <c r="C888" s="3">
        <v>6</v>
      </c>
      <c r="D888" s="3">
        <v>25</v>
      </c>
      <c r="E888" s="3">
        <f t="shared" ref="E888" si="4293">SUM(B888:D888)</f>
        <v>150</v>
      </c>
      <c r="F888" s="67">
        <v>470</v>
      </c>
      <c r="G888" s="3">
        <f t="shared" ref="G888" si="4294">F888-E888</f>
        <v>320</v>
      </c>
      <c r="H888" s="49">
        <f t="shared" ref="H888" si="4295">(F888-F887)/F887</f>
        <v>-8.3820662768031184E-2</v>
      </c>
      <c r="I888" s="58">
        <f t="shared" ref="I888" si="4296">(E888-E887)/E887</f>
        <v>-0.36170212765957449</v>
      </c>
      <c r="J888" s="30">
        <f t="shared" ref="J888" si="4297">E888-E887</f>
        <v>-85</v>
      </c>
      <c r="K888" s="62" t="e">
        <f t="shared" ref="K888" si="4298">(F888-F836)/F836</f>
        <v>#N/A</v>
      </c>
      <c r="L888" s="48" t="e">
        <f t="shared" ref="L888" si="4299">AVERAGE(F732,F784,F836)</f>
        <v>#N/A</v>
      </c>
    </row>
    <row r="889" spans="1:12" ht="14.25" x14ac:dyDescent="0.2">
      <c r="A889" s="21">
        <f t="shared" si="3661"/>
        <v>44814</v>
      </c>
      <c r="B889" s="3">
        <v>95</v>
      </c>
      <c r="C889" s="3">
        <v>19</v>
      </c>
      <c r="D889" s="3">
        <v>41</v>
      </c>
      <c r="E889" s="3">
        <f t="shared" ref="E889" si="4300">SUM(B889:D889)</f>
        <v>155</v>
      </c>
      <c r="F889" s="67">
        <v>348</v>
      </c>
      <c r="G889" s="3">
        <f t="shared" ref="G889" si="4301">F889-E889</f>
        <v>193</v>
      </c>
      <c r="H889" s="49">
        <f t="shared" ref="H889" si="4302">(F889-F888)/F888</f>
        <v>-0.25957446808510637</v>
      </c>
      <c r="I889" s="58">
        <f t="shared" ref="I889" si="4303">(E889-E888)/E888</f>
        <v>3.3333333333333333E-2</v>
      </c>
      <c r="J889" s="30">
        <f t="shared" ref="J889" si="4304">E889-E888</f>
        <v>5</v>
      </c>
      <c r="K889" s="62" t="e">
        <f t="shared" ref="K889" si="4305">(F889-F837)/F837</f>
        <v>#N/A</v>
      </c>
      <c r="L889" s="48" t="e">
        <f t="shared" ref="L889" si="4306">AVERAGE(F733,F785,F837)</f>
        <v>#N/A</v>
      </c>
    </row>
    <row r="890" spans="1:12" ht="14.25" x14ac:dyDescent="0.2">
      <c r="A890" s="21">
        <f t="shared" si="3661"/>
        <v>44821</v>
      </c>
      <c r="B890" s="3">
        <v>74</v>
      </c>
      <c r="C890" s="3">
        <v>16</v>
      </c>
      <c r="D890" s="3">
        <v>40</v>
      </c>
      <c r="E890" s="3">
        <f t="shared" ref="E890" si="4307">SUM(B890:D890)</f>
        <v>130</v>
      </c>
      <c r="F890" s="67">
        <v>583</v>
      </c>
      <c r="G890" s="3">
        <f t="shared" ref="G890" si="4308">F890-E890</f>
        <v>453</v>
      </c>
      <c r="H890" s="49">
        <f t="shared" ref="H890" si="4309">(F890-F889)/F889</f>
        <v>0.67528735632183912</v>
      </c>
      <c r="I890" s="58">
        <f t="shared" ref="I890" si="4310">(E890-E889)/E889</f>
        <v>-0.16129032258064516</v>
      </c>
      <c r="J890" s="30">
        <f t="shared" ref="J890" si="4311">E890-E889</f>
        <v>-25</v>
      </c>
      <c r="K890" s="62">
        <f t="shared" ref="K890" si="4312">(F890-F838)/F838</f>
        <v>1.27734375</v>
      </c>
      <c r="L890" s="48">
        <f t="shared" ref="L890" si="4313">AVERAGE(F734,F786,F838)</f>
        <v>507</v>
      </c>
    </row>
    <row r="891" spans="1:12" ht="14.25" x14ac:dyDescent="0.2">
      <c r="A891" s="21">
        <f t="shared" si="3661"/>
        <v>44828</v>
      </c>
      <c r="B891" s="3">
        <v>37</v>
      </c>
      <c r="C891" s="3">
        <v>34</v>
      </c>
      <c r="D891" s="3">
        <v>65</v>
      </c>
      <c r="E891" s="3">
        <f t="shared" ref="E891" si="4314">SUM(B891:D891)</f>
        <v>136</v>
      </c>
      <c r="F891" s="67">
        <v>489</v>
      </c>
      <c r="G891" s="3">
        <f t="shared" ref="G891" si="4315">F891-E891</f>
        <v>353</v>
      </c>
      <c r="H891" s="49">
        <f t="shared" ref="H891" si="4316">(F891-F890)/F890</f>
        <v>-0.16123499142367068</v>
      </c>
      <c r="I891" s="58">
        <f t="shared" ref="I891" si="4317">(E891-E890)/E890</f>
        <v>4.6153846153846156E-2</v>
      </c>
      <c r="J891" s="30">
        <f t="shared" ref="J891" si="4318">E891-E890</f>
        <v>6</v>
      </c>
      <c r="K891" s="62">
        <f t="shared" ref="K891" si="4319">(F891-F839)/F839</f>
        <v>0.2506393861892583</v>
      </c>
      <c r="L891" s="48">
        <f t="shared" ref="L891" si="4320">AVERAGE(F735,F787,F839)</f>
        <v>594.66666666666663</v>
      </c>
    </row>
    <row r="892" spans="1:12" ht="14.25" x14ac:dyDescent="0.2">
      <c r="A892" s="21">
        <f t="shared" si="3661"/>
        <v>44835</v>
      </c>
      <c r="B892" s="3">
        <v>119</v>
      </c>
      <c r="C892" s="3">
        <v>34</v>
      </c>
      <c r="D892" s="3">
        <v>67</v>
      </c>
      <c r="E892" s="3">
        <f t="shared" ref="E892" si="4321">SUM(B892:D892)</f>
        <v>220</v>
      </c>
      <c r="F892" s="67">
        <v>576</v>
      </c>
      <c r="G892" s="3">
        <f t="shared" ref="G892" si="4322">F892-E892</f>
        <v>356</v>
      </c>
      <c r="H892" s="49">
        <f t="shared" ref="H892" si="4323">(F892-F891)/F891</f>
        <v>0.17791411042944785</v>
      </c>
      <c r="I892" s="58">
        <f t="shared" ref="I892" si="4324">(E892-E891)/E891</f>
        <v>0.61764705882352944</v>
      </c>
      <c r="J892" s="30">
        <f t="shared" ref="J892" si="4325">E892-E891</f>
        <v>84</v>
      </c>
      <c r="K892" s="62">
        <f t="shared" ref="K892" si="4326">(F892-F840)/F840</f>
        <v>-9.5761381475667193E-2</v>
      </c>
      <c r="L892" s="48">
        <f t="shared" ref="L892" si="4327">AVERAGE(F736,F788,F840)</f>
        <v>739.66666666666663</v>
      </c>
    </row>
    <row r="893" spans="1:12" ht="14.25" x14ac:dyDescent="0.2">
      <c r="A893" s="21">
        <f t="shared" si="3661"/>
        <v>44842</v>
      </c>
      <c r="B893" s="3">
        <v>187</v>
      </c>
      <c r="C893" s="3">
        <v>12</v>
      </c>
      <c r="D893" s="3">
        <v>228</v>
      </c>
      <c r="E893" s="3">
        <f t="shared" ref="E893" si="4328">SUM(B893:D893)</f>
        <v>427</v>
      </c>
      <c r="F893" s="67">
        <v>472</v>
      </c>
      <c r="G893" s="3">
        <f t="shared" ref="G893" si="4329">F893-E893</f>
        <v>45</v>
      </c>
      <c r="H893" s="49">
        <f t="shared" ref="H893" si="4330">(F893-F892)/F892</f>
        <v>-0.18055555555555555</v>
      </c>
      <c r="I893" s="58">
        <f t="shared" ref="I893" si="4331">(E893-E892)/E892</f>
        <v>0.94090909090909092</v>
      </c>
      <c r="J893" s="30">
        <f t="shared" ref="J893" si="4332">E893-E892</f>
        <v>207</v>
      </c>
      <c r="K893" s="62">
        <f t="shared" ref="K893" si="4333">(F893-F841)/F841</f>
        <v>-0.36813922356091033</v>
      </c>
      <c r="L893" s="48">
        <f t="shared" ref="L893" si="4334">AVERAGE(F737,F789,F841)</f>
        <v>747.33333333333337</v>
      </c>
    </row>
    <row r="894" spans="1:12" ht="14.25" x14ac:dyDescent="0.2">
      <c r="A894" s="21">
        <f t="shared" si="3661"/>
        <v>44849</v>
      </c>
      <c r="B894" s="3">
        <v>275</v>
      </c>
      <c r="C894" s="3">
        <v>13</v>
      </c>
      <c r="D894" s="3">
        <v>126</v>
      </c>
      <c r="E894" s="3">
        <f t="shared" ref="E894" si="4335">SUM(B894:D894)</f>
        <v>414</v>
      </c>
      <c r="F894" s="67">
        <v>715</v>
      </c>
      <c r="G894" s="3">
        <f t="shared" ref="G894" si="4336">F894-E894</f>
        <v>301</v>
      </c>
      <c r="H894" s="49">
        <f t="shared" ref="H894" si="4337">(F894-F893)/F893</f>
        <v>0.51483050847457623</v>
      </c>
      <c r="I894" s="58">
        <f t="shared" ref="I894" si="4338">(E894-E893)/E893</f>
        <v>-3.0444964871194378E-2</v>
      </c>
      <c r="J894" s="30">
        <f t="shared" ref="J894" si="4339">E894-E893</f>
        <v>-13</v>
      </c>
      <c r="K894" s="62">
        <f t="shared" ref="K894" si="4340">(F894-F842)/F842</f>
        <v>-7.3834196891191708E-2</v>
      </c>
      <c r="L894" s="48">
        <f t="shared" ref="L894" si="4341">AVERAGE(F738,F790,F842)</f>
        <v>836.33333333333337</v>
      </c>
    </row>
    <row r="895" spans="1:12" ht="14.25" x14ac:dyDescent="0.2">
      <c r="A895" s="21">
        <f t="shared" si="3661"/>
        <v>44856</v>
      </c>
      <c r="B895" s="3">
        <v>236</v>
      </c>
      <c r="C895" s="3">
        <v>20</v>
      </c>
      <c r="D895" s="3">
        <v>109</v>
      </c>
      <c r="E895" s="3">
        <f t="shared" ref="E895" si="4342">SUM(B895:D895)</f>
        <v>365</v>
      </c>
      <c r="F895" s="67">
        <v>851</v>
      </c>
      <c r="G895" s="3">
        <f t="shared" ref="G895" si="4343">F895-E895</f>
        <v>486</v>
      </c>
      <c r="H895" s="49">
        <f t="shared" ref="H895" si="4344">(F895-F894)/F894</f>
        <v>0.1902097902097902</v>
      </c>
      <c r="I895" s="58">
        <f t="shared" ref="I895" si="4345">(E895-E894)/E894</f>
        <v>-0.11835748792270531</v>
      </c>
      <c r="J895" s="30">
        <f t="shared" ref="J895" si="4346">E895-E894</f>
        <v>-49</v>
      </c>
      <c r="K895" s="62">
        <f t="shared" ref="K895" si="4347">(F895-F843)/F843</f>
        <v>0.1167979002624672</v>
      </c>
      <c r="L895" s="48">
        <f t="shared" ref="L895" si="4348">AVERAGE(F739,F791,F843)</f>
        <v>783</v>
      </c>
    </row>
    <row r="896" spans="1:12" ht="14.25" x14ac:dyDescent="0.2">
      <c r="A896" s="21">
        <f t="shared" si="3661"/>
        <v>44863</v>
      </c>
      <c r="B896" s="3">
        <v>220</v>
      </c>
      <c r="C896" s="3">
        <v>17</v>
      </c>
      <c r="D896" s="3">
        <v>102</v>
      </c>
      <c r="E896" s="3">
        <f t="shared" ref="E896" si="4349">SUM(B896:D896)</f>
        <v>339</v>
      </c>
      <c r="F896" s="67">
        <v>598</v>
      </c>
      <c r="G896" s="3">
        <f t="shared" ref="G896" si="4350">F896-E896</f>
        <v>259</v>
      </c>
      <c r="H896" s="49">
        <f t="shared" ref="H896" si="4351">(F896-F895)/F895</f>
        <v>-0.29729729729729731</v>
      </c>
      <c r="I896" s="58">
        <f t="shared" ref="I896" si="4352">(E896-E895)/E895</f>
        <v>-7.1232876712328766E-2</v>
      </c>
      <c r="J896" s="30">
        <f t="shared" ref="J896" si="4353">E896-E895</f>
        <v>-26</v>
      </c>
      <c r="K896" s="62">
        <f t="shared" ref="K896" si="4354">(F896-F844)/F844</f>
        <v>-0.24685138539042822</v>
      </c>
      <c r="L896" s="48">
        <f t="shared" ref="L896" si="4355">AVERAGE(F740,F792,F844)</f>
        <v>711</v>
      </c>
    </row>
    <row r="897" spans="1:12" ht="14.25" x14ac:dyDescent="0.2">
      <c r="A897" s="21">
        <f t="shared" si="3661"/>
        <v>44870</v>
      </c>
      <c r="B897" s="3">
        <v>288</v>
      </c>
      <c r="C897" s="3">
        <v>21</v>
      </c>
      <c r="D897" s="3">
        <v>131</v>
      </c>
      <c r="E897" s="3">
        <f t="shared" ref="E897" si="4356">SUM(B897:D897)</f>
        <v>440</v>
      </c>
      <c r="F897" s="67">
        <v>617</v>
      </c>
      <c r="G897" s="3">
        <f t="shared" ref="G897" si="4357">F897-E897</f>
        <v>177</v>
      </c>
      <c r="H897" s="49">
        <f t="shared" ref="H897" si="4358">(F897-F896)/F896</f>
        <v>3.177257525083612E-2</v>
      </c>
      <c r="I897" s="58">
        <f t="shared" ref="I897" si="4359">(E897-E896)/E896</f>
        <v>0.29793510324483774</v>
      </c>
      <c r="J897" s="30">
        <f t="shared" ref="J897" si="4360">E897-E896</f>
        <v>101</v>
      </c>
      <c r="K897" s="62">
        <f t="shared" ref="K897" si="4361">(F897-F845)/F845</f>
        <v>-0.29726651480637811</v>
      </c>
      <c r="L897" s="48">
        <f t="shared" ref="L897" si="4362">AVERAGE(F741,F793,F845)</f>
        <v>869</v>
      </c>
    </row>
    <row r="898" spans="1:12" ht="14.25" x14ac:dyDescent="0.2">
      <c r="A898" s="21">
        <f t="shared" si="3661"/>
        <v>44877</v>
      </c>
      <c r="B898" s="3">
        <v>284</v>
      </c>
      <c r="C898" s="3">
        <v>10</v>
      </c>
      <c r="D898" s="3">
        <v>89</v>
      </c>
      <c r="E898" s="3">
        <f t="shared" ref="E898" si="4363">SUM(B898:D898)</f>
        <v>383</v>
      </c>
      <c r="F898" s="67">
        <v>830</v>
      </c>
      <c r="G898" s="3">
        <f t="shared" ref="G898" si="4364">F898-E898</f>
        <v>447</v>
      </c>
      <c r="H898" s="49">
        <f t="shared" ref="H898" si="4365">(F898-F897)/F897</f>
        <v>0.34521880064829824</v>
      </c>
      <c r="I898" s="58">
        <f t="shared" ref="I898" si="4366">(E898-E897)/E897</f>
        <v>-0.12954545454545455</v>
      </c>
      <c r="J898" s="30">
        <f t="shared" ref="J898" si="4367">E898-E897</f>
        <v>-57</v>
      </c>
      <c r="K898" s="62">
        <f t="shared" ref="K898" si="4368">(F898-F846)/F846</f>
        <v>-8.590308370044053E-2</v>
      </c>
      <c r="L898" s="48">
        <f t="shared" ref="L898" si="4369">AVERAGE(F742,F794,F846)</f>
        <v>851.66666666666663</v>
      </c>
    </row>
    <row r="899" spans="1:12" ht="14.25" x14ac:dyDescent="0.2">
      <c r="A899" s="21">
        <f t="shared" si="3661"/>
        <v>44884</v>
      </c>
      <c r="B899" s="3">
        <v>348</v>
      </c>
      <c r="C899" s="3">
        <v>23</v>
      </c>
      <c r="D899" s="3">
        <v>244</v>
      </c>
      <c r="E899" s="3">
        <f t="shared" ref="E899" si="4370">SUM(B899:D899)</f>
        <v>615</v>
      </c>
      <c r="F899" s="67">
        <v>826</v>
      </c>
      <c r="G899" s="3">
        <f t="shared" ref="G899" si="4371">F899-E899</f>
        <v>211</v>
      </c>
      <c r="H899" s="49">
        <f t="shared" ref="H899" si="4372">(F899-F898)/F898</f>
        <v>-4.8192771084337354E-3</v>
      </c>
      <c r="I899" s="58">
        <f t="shared" ref="I899" si="4373">(E899-E898)/E898</f>
        <v>0.60574412532637079</v>
      </c>
      <c r="J899" s="30">
        <f t="shared" ref="J899" si="4374">E899-E898</f>
        <v>232</v>
      </c>
      <c r="K899" s="62">
        <f t="shared" ref="K899" si="4375">(F899-F847)/F847</f>
        <v>-7.2951739618406286E-2</v>
      </c>
      <c r="L899" s="48">
        <f t="shared" ref="L899" si="4376">AVERAGE(F743,F795,F847)</f>
        <v>912</v>
      </c>
    </row>
    <row r="900" spans="1:12" ht="14.25" x14ac:dyDescent="0.2">
      <c r="A900" s="21">
        <f t="shared" si="3661"/>
        <v>44891</v>
      </c>
      <c r="B900" s="3">
        <v>324</v>
      </c>
      <c r="C900" s="3">
        <v>26</v>
      </c>
      <c r="D900" s="3">
        <v>134</v>
      </c>
      <c r="E900" s="3">
        <f t="shared" ref="E900" si="4377">SUM(B900:D900)</f>
        <v>484</v>
      </c>
      <c r="F900" s="67">
        <v>731</v>
      </c>
      <c r="G900" s="3">
        <f t="shared" ref="G900" si="4378">F900-E900</f>
        <v>247</v>
      </c>
      <c r="H900" s="49">
        <f t="shared" ref="H900" si="4379">(F900-F899)/F899</f>
        <v>-0.11501210653753027</v>
      </c>
      <c r="I900" s="58">
        <f t="shared" ref="I900" si="4380">(E900-E899)/E899</f>
        <v>-0.21300813008130082</v>
      </c>
      <c r="J900" s="30">
        <f t="shared" ref="J900" si="4381">E900-E899</f>
        <v>-131</v>
      </c>
      <c r="K900" s="62">
        <f t="shared" ref="K900" si="4382">(F900-F848)/F848</f>
        <v>-0.1949339207048458</v>
      </c>
      <c r="L900" s="48">
        <f t="shared" ref="L900" si="4383">AVERAGE(F744,F796,F848)</f>
        <v>853</v>
      </c>
    </row>
    <row r="901" spans="1:12" ht="14.25" x14ac:dyDescent="0.2">
      <c r="A901" s="21">
        <f t="shared" si="3661"/>
        <v>44898</v>
      </c>
      <c r="B901" s="3">
        <v>364</v>
      </c>
      <c r="C901" s="3">
        <v>21</v>
      </c>
      <c r="D901" s="3">
        <v>136</v>
      </c>
      <c r="E901" s="3">
        <f t="shared" ref="E901" si="4384">SUM(B901:D901)</f>
        <v>521</v>
      </c>
      <c r="F901" s="67">
        <v>886</v>
      </c>
      <c r="G901" s="3">
        <f t="shared" ref="G901" si="4385">F901-E901</f>
        <v>365</v>
      </c>
      <c r="H901" s="49">
        <f t="shared" ref="H901" si="4386">(F901-F900)/F900</f>
        <v>0.21203830369357046</v>
      </c>
      <c r="I901" s="58">
        <f t="shared" ref="I901" si="4387">(E901-E900)/E900</f>
        <v>7.6446280991735532E-2</v>
      </c>
      <c r="J901" s="30">
        <f t="shared" ref="J901" si="4388">E901-E900</f>
        <v>37</v>
      </c>
      <c r="K901" s="62">
        <f t="shared" ref="K901" si="4389">(F901-F849)/F849</f>
        <v>0.18291054739652871</v>
      </c>
      <c r="L901" s="48">
        <f t="shared" ref="L901" si="4390">AVERAGE(F745,F797,F849)</f>
        <v>842.33333333333337</v>
      </c>
    </row>
    <row r="902" spans="1:12" ht="14.25" x14ac:dyDescent="0.2">
      <c r="A902" s="21">
        <f t="shared" si="3661"/>
        <v>44905</v>
      </c>
      <c r="B902" s="3">
        <v>310</v>
      </c>
      <c r="C902" s="3">
        <v>13</v>
      </c>
      <c r="D902" s="3">
        <v>197</v>
      </c>
      <c r="E902" s="3">
        <f t="shared" ref="E902" si="4391">SUM(B902:D902)</f>
        <v>520</v>
      </c>
      <c r="F902" s="67">
        <v>719</v>
      </c>
      <c r="G902" s="3">
        <f t="shared" ref="G902" si="4392">F902-E902</f>
        <v>199</v>
      </c>
      <c r="H902" s="49">
        <f t="shared" ref="H902" si="4393">(F902-F901)/F901</f>
        <v>-0.18848758465011287</v>
      </c>
      <c r="I902" s="58">
        <f t="shared" ref="I902" si="4394">(E902-E901)/E901</f>
        <v>-1.9193857965451055E-3</v>
      </c>
      <c r="J902" s="30">
        <f t="shared" ref="J902" si="4395">E902-E901</f>
        <v>-1</v>
      </c>
      <c r="K902" s="62">
        <f t="shared" ref="K902" si="4396">(F902-F850)/F850</f>
        <v>-3.4899328859060399E-2</v>
      </c>
      <c r="L902" s="48">
        <f t="shared" ref="L902" si="4397">AVERAGE(F746,F798,F850)</f>
        <v>817.33333333333337</v>
      </c>
    </row>
    <row r="903" spans="1:12" ht="14.25" x14ac:dyDescent="0.2">
      <c r="A903" s="21">
        <f t="shared" si="3661"/>
        <v>44912</v>
      </c>
      <c r="B903" s="3">
        <v>360</v>
      </c>
      <c r="C903" s="3">
        <v>17</v>
      </c>
      <c r="D903" s="3">
        <v>143</v>
      </c>
      <c r="E903" s="3">
        <f t="shared" ref="E903" si="4398">SUM(B903:D903)</f>
        <v>520</v>
      </c>
      <c r="F903" s="67">
        <v>987</v>
      </c>
      <c r="G903" s="3">
        <f t="shared" ref="G903" si="4399">F903-E903</f>
        <v>467</v>
      </c>
      <c r="H903" s="49">
        <f t="shared" ref="H903" si="4400">(F903-F902)/F902</f>
        <v>0.37273991655076494</v>
      </c>
      <c r="I903" s="58">
        <f t="shared" ref="I903" si="4401">(E903-E902)/E902</f>
        <v>0</v>
      </c>
      <c r="J903" s="30">
        <f t="shared" ref="J903" si="4402">E903-E902</f>
        <v>0</v>
      </c>
      <c r="K903" s="62">
        <f t="shared" ref="K903" si="4403">(F903-F851)/F851</f>
        <v>0.25253807106598986</v>
      </c>
      <c r="L903" s="48">
        <f t="shared" ref="L903" si="4404">AVERAGE(F747,F799,F851)</f>
        <v>862</v>
      </c>
    </row>
    <row r="904" spans="1:12" ht="14.25" x14ac:dyDescent="0.2">
      <c r="A904" s="21">
        <f t="shared" si="3661"/>
        <v>44919</v>
      </c>
      <c r="B904" s="3">
        <v>259</v>
      </c>
      <c r="C904" s="3">
        <v>8</v>
      </c>
      <c r="D904" s="3">
        <v>149</v>
      </c>
      <c r="E904" s="3">
        <f t="shared" ref="E904" si="4405">SUM(B904:D904)</f>
        <v>416</v>
      </c>
      <c r="F904" s="67">
        <v>882</v>
      </c>
      <c r="G904" s="3">
        <f t="shared" ref="G904" si="4406">F904-E904</f>
        <v>466</v>
      </c>
      <c r="H904" s="49">
        <f t="shared" ref="H904" si="4407">(F904-F903)/F903</f>
        <v>-0.10638297872340426</v>
      </c>
      <c r="I904" s="58">
        <f t="shared" ref="I904" si="4408">(E904-E903)/E903</f>
        <v>-0.2</v>
      </c>
      <c r="J904" s="30">
        <f t="shared" ref="J904" si="4409">E904-E903</f>
        <v>-104</v>
      </c>
      <c r="K904" s="62">
        <f t="shared" ref="K904" si="4410">(F904-F852)/F852</f>
        <v>3.0373831775700934E-2</v>
      </c>
      <c r="L904" s="48">
        <f t="shared" ref="L904" si="4411">AVERAGE(F748,F800,F852)</f>
        <v>787</v>
      </c>
    </row>
    <row r="905" spans="1:12" ht="14.25" x14ac:dyDescent="0.2">
      <c r="A905" s="21">
        <f t="shared" si="3661"/>
        <v>44926</v>
      </c>
      <c r="B905" s="3">
        <v>101</v>
      </c>
      <c r="C905" s="3">
        <v>20</v>
      </c>
      <c r="D905" s="3">
        <v>139</v>
      </c>
      <c r="E905" s="3">
        <f t="shared" ref="E905" si="4412">SUM(B905:D905)</f>
        <v>260</v>
      </c>
      <c r="F905" s="67">
        <v>787</v>
      </c>
      <c r="G905" s="3">
        <f t="shared" ref="G905" si="4413">F905-E905</f>
        <v>527</v>
      </c>
      <c r="H905" s="49">
        <f t="shared" ref="H905" si="4414">(F905-F904)/F904</f>
        <v>-0.10770975056689343</v>
      </c>
      <c r="I905" s="58">
        <f t="shared" ref="I905" si="4415">(E905-E904)/E904</f>
        <v>-0.375</v>
      </c>
      <c r="J905" s="30">
        <f t="shared" ref="J905" si="4416">E905-E904</f>
        <v>-156</v>
      </c>
      <c r="K905" s="62">
        <f t="shared" ref="K905" si="4417">(F905-F853)/F853</f>
        <v>-5.5222088835534214E-2</v>
      </c>
      <c r="L905" s="48">
        <f t="shared" ref="L905" si="4418">AVERAGE(F749,F801,F853)</f>
        <v>856.66666666666663</v>
      </c>
    </row>
    <row r="906" spans="1:12" ht="14.25" x14ac:dyDescent="0.2">
      <c r="A906" s="21">
        <f t="shared" si="3661"/>
        <v>44933</v>
      </c>
      <c r="B906" s="3">
        <v>69</v>
      </c>
      <c r="C906" s="3">
        <v>3</v>
      </c>
      <c r="D906" s="3">
        <v>158</v>
      </c>
      <c r="E906" s="3">
        <f t="shared" ref="E906" si="4419">SUM(B906:D906)</f>
        <v>230</v>
      </c>
      <c r="F906" s="67">
        <v>625</v>
      </c>
      <c r="G906" s="3">
        <f t="shared" ref="G906" si="4420">F906-E906</f>
        <v>395</v>
      </c>
      <c r="H906" s="49">
        <f t="shared" ref="H906" si="4421">(F906-F905)/F905</f>
        <v>-0.20584498094027953</v>
      </c>
      <c r="I906" s="58">
        <f t="shared" ref="I906" si="4422">(E906-E905)/E905</f>
        <v>-0.11538461538461539</v>
      </c>
      <c r="J906" s="30">
        <f t="shared" ref="J906" si="4423">E906-E905</f>
        <v>-30</v>
      </c>
      <c r="K906" s="62">
        <f t="shared" ref="K906" si="4424">(F906-F854)/F854</f>
        <v>-0.24879807692307693</v>
      </c>
      <c r="L906" s="48">
        <f t="shared" ref="L906" si="4425">AVERAGE(F750,F802,F854)</f>
        <v>899</v>
      </c>
    </row>
    <row r="907" spans="1:12" ht="14.25" x14ac:dyDescent="0.2">
      <c r="A907" s="21">
        <f t="shared" si="3661"/>
        <v>44940</v>
      </c>
      <c r="B907" s="3">
        <v>181</v>
      </c>
      <c r="C907" s="3">
        <v>24</v>
      </c>
      <c r="D907" s="3">
        <v>183</v>
      </c>
      <c r="E907" s="3">
        <f t="shared" ref="E907" si="4426">SUM(B907:D907)</f>
        <v>388</v>
      </c>
      <c r="F907" s="67">
        <v>871</v>
      </c>
      <c r="G907" s="3">
        <f t="shared" ref="G907" si="4427">F907-E907</f>
        <v>483</v>
      </c>
      <c r="H907" s="49">
        <f t="shared" ref="H907" si="4428">(F907-F906)/F906</f>
        <v>0.39360000000000001</v>
      </c>
      <c r="I907" s="58">
        <f t="shared" ref="I907" si="4429">(E907-E906)/E906</f>
        <v>0.68695652173913047</v>
      </c>
      <c r="J907" s="30">
        <f t="shared" ref="J907" si="4430">E907-E906</f>
        <v>158</v>
      </c>
      <c r="K907" s="62">
        <f t="shared" ref="K907" si="4431">(F907-F855)/F855</f>
        <v>4.9397590361445781E-2</v>
      </c>
      <c r="L907" s="48">
        <f t="shared" ref="L907" si="4432">AVERAGE(F751,F803,F855)</f>
        <v>806.33333333333337</v>
      </c>
    </row>
    <row r="908" spans="1:12" ht="14.25" x14ac:dyDescent="0.2">
      <c r="A908" s="21">
        <f t="shared" si="3661"/>
        <v>44947</v>
      </c>
      <c r="B908" s="3">
        <v>198</v>
      </c>
      <c r="C908" s="3">
        <v>13</v>
      </c>
      <c r="D908" s="3">
        <v>208</v>
      </c>
      <c r="E908" s="3">
        <f t="shared" ref="E908" si="4433">SUM(B908:D908)</f>
        <v>419</v>
      </c>
      <c r="F908" s="67">
        <v>674</v>
      </c>
      <c r="G908" s="3">
        <f t="shared" ref="G908" si="4434">F908-E908</f>
        <v>255</v>
      </c>
      <c r="H908" s="49">
        <f t="shared" ref="H908" si="4435">(F908-F907)/F907</f>
        <v>-0.2261768082663605</v>
      </c>
      <c r="I908" s="58">
        <f t="shared" ref="I908" si="4436">(E908-E907)/E907</f>
        <v>7.9896907216494839E-2</v>
      </c>
      <c r="J908" s="30">
        <f t="shared" ref="J908" si="4437">E908-E907</f>
        <v>31</v>
      </c>
      <c r="K908" s="62">
        <f t="shared" ref="K908" si="4438">(F908-F856)/F856</f>
        <v>-0.17603911980440098</v>
      </c>
      <c r="L908" s="48">
        <f t="shared" ref="L908" si="4439">AVERAGE(F752,F804,F856)</f>
        <v>833.33333333333337</v>
      </c>
    </row>
    <row r="909" spans="1:12" ht="14.25" x14ac:dyDescent="0.2">
      <c r="A909" s="21">
        <f t="shared" si="3661"/>
        <v>44954</v>
      </c>
      <c r="B909" s="3">
        <v>206</v>
      </c>
      <c r="C909" s="3">
        <v>8</v>
      </c>
      <c r="D909" s="3">
        <v>188</v>
      </c>
      <c r="E909" s="3">
        <f t="shared" ref="E909" si="4440">SUM(B909:D909)</f>
        <v>402</v>
      </c>
      <c r="F909" s="67">
        <v>775</v>
      </c>
      <c r="G909" s="3">
        <f t="shared" ref="G909" si="4441">F909-E909</f>
        <v>373</v>
      </c>
      <c r="H909" s="49">
        <f t="shared" ref="H909" si="4442">(F909-F908)/F908</f>
        <v>0.14985163204747776</v>
      </c>
      <c r="I909" s="58">
        <f t="shared" ref="I909" si="4443">(E909-E908)/E908</f>
        <v>-4.0572792362768499E-2</v>
      </c>
      <c r="J909" s="30">
        <f t="shared" ref="J909" si="4444">E909-E908</f>
        <v>-17</v>
      </c>
      <c r="K909" s="62">
        <f t="shared" ref="K909" si="4445">(F909-F857)/F857</f>
        <v>4.4474393530997303E-2</v>
      </c>
      <c r="L909" s="48">
        <f t="shared" ref="L909" si="4446">AVERAGE(F753,F805,F857)</f>
        <v>739.33333333333337</v>
      </c>
    </row>
    <row r="910" spans="1:12" ht="14.25" x14ac:dyDescent="0.2">
      <c r="A910" s="21">
        <f t="shared" si="3661"/>
        <v>44961</v>
      </c>
      <c r="B910" s="3">
        <v>184</v>
      </c>
      <c r="C910" s="3">
        <v>16</v>
      </c>
      <c r="D910" s="3">
        <v>175</v>
      </c>
      <c r="E910" s="3">
        <f t="shared" ref="E910" si="4447">SUM(B910:D910)</f>
        <v>375</v>
      </c>
      <c r="F910" s="67">
        <v>697</v>
      </c>
      <c r="G910" s="3">
        <f t="shared" ref="G910" si="4448">F910-E910</f>
        <v>322</v>
      </c>
      <c r="H910" s="49">
        <f t="shared" ref="H910" si="4449">(F910-F909)/F909</f>
        <v>-0.10064516129032258</v>
      </c>
      <c r="I910" s="58">
        <f t="shared" ref="I910" si="4450">(E910-E909)/E909</f>
        <v>-6.7164179104477612E-2</v>
      </c>
      <c r="J910" s="30">
        <f t="shared" ref="J910" si="4451">E910-E909</f>
        <v>-27</v>
      </c>
      <c r="K910" s="62">
        <f t="shared" ref="K910" si="4452">(F910-F858)/F858</f>
        <v>0.10987261146496816</v>
      </c>
      <c r="L910" s="48">
        <f t="shared" ref="L910" si="4453">AVERAGE(F754,F806,F858)</f>
        <v>761.66666666666663</v>
      </c>
    </row>
    <row r="911" spans="1:12" ht="14.25" x14ac:dyDescent="0.2">
      <c r="A911" s="21">
        <f t="shared" si="3661"/>
        <v>44968</v>
      </c>
      <c r="B911" s="3">
        <v>171</v>
      </c>
      <c r="C911" s="3">
        <v>13</v>
      </c>
      <c r="D911" s="3">
        <v>185</v>
      </c>
      <c r="E911" s="3">
        <f t="shared" ref="E911" si="4454">SUM(B911:D911)</f>
        <v>369</v>
      </c>
      <c r="F911" s="67">
        <v>775</v>
      </c>
      <c r="G911" s="3">
        <f t="shared" ref="G911" si="4455">F911-E911</f>
        <v>406</v>
      </c>
      <c r="H911" s="49">
        <f t="shared" ref="H911" si="4456">(F911-F910)/F910</f>
        <v>0.11190817790530846</v>
      </c>
      <c r="I911" s="58">
        <f t="shared" ref="I911" si="4457">(E911-E910)/E910</f>
        <v>-1.6E-2</v>
      </c>
      <c r="J911" s="30">
        <f t="shared" ref="J911" si="4458">E911-E910</f>
        <v>-6</v>
      </c>
      <c r="K911" s="62">
        <f t="shared" ref="K911" si="4459">(F911-F859)/F859</f>
        <v>-5.8323207776427702E-2</v>
      </c>
      <c r="L911" s="48">
        <f t="shared" ref="L911" si="4460">AVERAGE(F755,F807,F859)</f>
        <v>753</v>
      </c>
    </row>
    <row r="912" spans="1:12" ht="14.25" x14ac:dyDescent="0.2">
      <c r="A912" s="21">
        <f t="shared" si="3661"/>
        <v>44975</v>
      </c>
      <c r="B912" s="3">
        <v>171</v>
      </c>
      <c r="C912" s="3">
        <v>29</v>
      </c>
      <c r="D912" s="3">
        <v>238</v>
      </c>
      <c r="E912" s="3">
        <f t="shared" ref="E912" si="4461">SUM(B912:D912)</f>
        <v>438</v>
      </c>
      <c r="F912" s="67">
        <v>756</v>
      </c>
      <c r="G912" s="3">
        <f t="shared" ref="G912" si="4462">F912-E912</f>
        <v>318</v>
      </c>
      <c r="H912" s="49">
        <f t="shared" ref="H912" si="4463">(F912-F911)/F911</f>
        <v>-2.4516129032258065E-2</v>
      </c>
      <c r="I912" s="58">
        <f t="shared" ref="I912" si="4464">(E912-E911)/E911</f>
        <v>0.18699186991869918</v>
      </c>
      <c r="J912" s="30">
        <f t="shared" ref="J912" si="4465">E912-E911</f>
        <v>69</v>
      </c>
      <c r="K912" s="62">
        <f t="shared" ref="K912" si="4466">(F912-F860)/F860</f>
        <v>2.0242914979757085E-2</v>
      </c>
      <c r="L912" s="48">
        <f t="shared" ref="L912" si="4467">AVERAGE(F756,F808,F860)</f>
        <v>646.33333333333337</v>
      </c>
    </row>
    <row r="913" spans="1:12" ht="14.25" x14ac:dyDescent="0.2">
      <c r="A913" s="21">
        <f t="shared" si="3661"/>
        <v>44982</v>
      </c>
      <c r="B913" s="3">
        <v>117</v>
      </c>
      <c r="C913" s="3">
        <v>13</v>
      </c>
      <c r="D913" s="3">
        <v>128</v>
      </c>
      <c r="E913" s="3">
        <f t="shared" ref="E913" si="4468">SUM(B913:D913)</f>
        <v>258</v>
      </c>
      <c r="F913" s="67">
        <v>476</v>
      </c>
      <c r="G913" s="3">
        <f t="shared" ref="G913" si="4469">F913-E913</f>
        <v>218</v>
      </c>
      <c r="H913" s="49">
        <f t="shared" ref="H913" si="4470">(F913-F912)/F912</f>
        <v>-0.37037037037037035</v>
      </c>
      <c r="I913" s="58">
        <f t="shared" ref="I913" si="4471">(E913-E912)/E912</f>
        <v>-0.41095890410958902</v>
      </c>
      <c r="J913" s="30">
        <f t="shared" ref="J913" si="4472">E913-E912</f>
        <v>-180</v>
      </c>
      <c r="K913" s="62">
        <f t="shared" ref="K913" si="4473">(F913-F861)/F861</f>
        <v>-0.34972677595628415</v>
      </c>
      <c r="L913" s="48">
        <f t="shared" ref="L913" si="4474">AVERAGE(F757,F809,F861)</f>
        <v>663.33333333333337</v>
      </c>
    </row>
    <row r="914" spans="1:12" ht="14.25" x14ac:dyDescent="0.2">
      <c r="A914" s="21">
        <f t="shared" si="3661"/>
        <v>44989</v>
      </c>
      <c r="B914" s="3">
        <v>88</v>
      </c>
      <c r="C914" s="3">
        <v>32</v>
      </c>
      <c r="D914" s="3">
        <v>142</v>
      </c>
      <c r="E914" s="3">
        <f t="shared" ref="E914" si="4475">SUM(B914:D914)</f>
        <v>262</v>
      </c>
      <c r="F914" s="67">
        <v>775</v>
      </c>
      <c r="G914" s="3">
        <f t="shared" ref="G914" si="4476">F914-E914</f>
        <v>513</v>
      </c>
      <c r="H914" s="49">
        <f t="shared" ref="H914" si="4477">(F914-F913)/F913</f>
        <v>0.62815126050420167</v>
      </c>
      <c r="I914" s="58">
        <f t="shared" ref="I914" si="4478">(E914-E913)/E913</f>
        <v>1.5503875968992248E-2</v>
      </c>
      <c r="J914" s="30">
        <f t="shared" ref="J914" si="4479">E914-E913</f>
        <v>4</v>
      </c>
      <c r="K914" s="62">
        <f t="shared" ref="K914" si="4480">(F914-F862)/F862</f>
        <v>3.3333333333333333E-2</v>
      </c>
      <c r="L914" s="48">
        <f t="shared" ref="L914" si="4481">AVERAGE(F758,F810,F862)</f>
        <v>711</v>
      </c>
    </row>
    <row r="915" spans="1:12" ht="14.25" x14ac:dyDescent="0.2">
      <c r="A915" s="21">
        <f t="shared" si="3661"/>
        <v>44996</v>
      </c>
      <c r="B915" s="3">
        <v>123</v>
      </c>
      <c r="C915" s="3">
        <v>9</v>
      </c>
      <c r="D915" s="3">
        <v>153</v>
      </c>
      <c r="E915" s="3">
        <f t="shared" ref="E915" si="4482">SUM(B915:D915)</f>
        <v>285</v>
      </c>
      <c r="F915" s="67">
        <v>666</v>
      </c>
      <c r="G915" s="3">
        <f t="shared" ref="G915" si="4483">F915-E915</f>
        <v>381</v>
      </c>
      <c r="H915" s="49">
        <f t="shared" ref="H915" si="4484">(F915-F914)/F914</f>
        <v>-0.14064516129032259</v>
      </c>
      <c r="I915" s="58">
        <f t="shared" ref="I915" si="4485">(E915-E914)/E914</f>
        <v>8.7786259541984726E-2</v>
      </c>
      <c r="J915" s="30">
        <f t="shared" ref="J915" si="4486">E915-E914</f>
        <v>23</v>
      </c>
      <c r="K915" s="62">
        <f t="shared" ref="K915" si="4487">(F915-F863)/F863</f>
        <v>-2.3460410557184751E-2</v>
      </c>
      <c r="L915" s="48">
        <f t="shared" ref="L915" si="4488">AVERAGE(F759,F811,F863)</f>
        <v>698.33333333333337</v>
      </c>
    </row>
    <row r="916" spans="1:12" ht="14.25" x14ac:dyDescent="0.2">
      <c r="A916" s="21">
        <f t="shared" si="3661"/>
        <v>45003</v>
      </c>
      <c r="B916" s="3">
        <v>256</v>
      </c>
      <c r="C916" s="3">
        <v>21</v>
      </c>
      <c r="D916" s="3">
        <v>115</v>
      </c>
      <c r="E916" s="3">
        <f t="shared" ref="E916" si="4489">SUM(B916:D916)</f>
        <v>392</v>
      </c>
      <c r="F916" s="67">
        <v>699</v>
      </c>
      <c r="G916" s="3">
        <f t="shared" ref="G916" si="4490">F916-E916</f>
        <v>307</v>
      </c>
      <c r="H916" s="49">
        <f t="shared" ref="H916" si="4491">(F916-F915)/F915</f>
        <v>4.954954954954955E-2</v>
      </c>
      <c r="I916" s="58">
        <f t="shared" ref="I916" si="4492">(E916-E915)/E915</f>
        <v>0.37543859649122807</v>
      </c>
      <c r="J916" s="30">
        <f t="shared" ref="J916" si="4493">E916-E915</f>
        <v>107</v>
      </c>
      <c r="K916" s="62">
        <f t="shared" ref="K916" si="4494">(F916-F864)/F864</f>
        <v>9.3896713615023469E-2</v>
      </c>
      <c r="L916" s="48">
        <f t="shared" ref="L916" si="4495">AVERAGE(F760,F812,F864)</f>
        <v>655.66666666666663</v>
      </c>
    </row>
    <row r="917" spans="1:12" ht="14.25" x14ac:dyDescent="0.2">
      <c r="A917" s="21">
        <f t="shared" si="3661"/>
        <v>45010</v>
      </c>
      <c r="B917" s="3">
        <v>238</v>
      </c>
      <c r="C917" s="3">
        <v>15</v>
      </c>
      <c r="D917" s="3">
        <v>153</v>
      </c>
      <c r="E917" s="3">
        <f t="shared" ref="E917" si="4496">SUM(B917:D917)</f>
        <v>406</v>
      </c>
      <c r="F917" s="67">
        <v>656</v>
      </c>
      <c r="G917" s="3">
        <f t="shared" ref="G917" si="4497">F917-E917</f>
        <v>250</v>
      </c>
      <c r="H917" s="49">
        <f t="shared" ref="H917" si="4498">(F917-F916)/F916</f>
        <v>-6.1516452074391992E-2</v>
      </c>
      <c r="I917" s="58">
        <f t="shared" ref="I917" si="4499">(E917-E916)/E916</f>
        <v>3.5714285714285712E-2</v>
      </c>
      <c r="J917" s="30">
        <f t="shared" ref="J917" si="4500">E917-E916</f>
        <v>14</v>
      </c>
      <c r="K917" s="62">
        <f t="shared" ref="K917" si="4501">(F917-F865)/F865</f>
        <v>-0.12881806108897742</v>
      </c>
      <c r="L917" s="48">
        <f t="shared" ref="L917" si="4502">AVERAGE(F761,F813,F865)</f>
        <v>655</v>
      </c>
    </row>
    <row r="918" spans="1:12" ht="14.25" x14ac:dyDescent="0.2">
      <c r="A918" s="21">
        <f t="shared" si="3661"/>
        <v>45017</v>
      </c>
      <c r="B918" s="3">
        <v>259</v>
      </c>
      <c r="C918" s="3">
        <v>9</v>
      </c>
      <c r="D918" s="3">
        <v>186</v>
      </c>
      <c r="E918" s="3">
        <f t="shared" ref="E918" si="4503">SUM(B918:D918)</f>
        <v>454</v>
      </c>
      <c r="F918" s="67">
        <v>702</v>
      </c>
      <c r="G918" s="3">
        <f t="shared" ref="G918" si="4504">F918-E918</f>
        <v>248</v>
      </c>
      <c r="H918" s="49">
        <f t="shared" ref="H918" si="4505">(F918-F917)/F917</f>
        <v>7.0121951219512202E-2</v>
      </c>
      <c r="I918" s="58">
        <f t="shared" ref="I918" si="4506">(E918-E917)/E917</f>
        <v>0.11822660098522167</v>
      </c>
      <c r="J918" s="30">
        <f t="shared" ref="J918" si="4507">E918-E917</f>
        <v>48</v>
      </c>
      <c r="K918" s="62">
        <f t="shared" ref="K918" si="4508">(F918-F866)/F866</f>
        <v>-1.2658227848101266E-2</v>
      </c>
      <c r="L918" s="48">
        <f t="shared" ref="L918" si="4509">AVERAGE(F762,F814,F866)</f>
        <v>681.33333333333337</v>
      </c>
    </row>
    <row r="919" spans="1:12" ht="14.25" x14ac:dyDescent="0.2">
      <c r="A919" s="21">
        <f t="shared" si="3661"/>
        <v>45024</v>
      </c>
      <c r="B919" s="3">
        <v>282</v>
      </c>
      <c r="C919" s="3">
        <v>26</v>
      </c>
      <c r="D919" s="3">
        <v>135</v>
      </c>
      <c r="E919" s="3">
        <f t="shared" ref="E919" si="4510">SUM(B919:D919)</f>
        <v>443</v>
      </c>
      <c r="F919" s="67">
        <v>593</v>
      </c>
      <c r="G919" s="3">
        <f t="shared" ref="G919" si="4511">F919-E919</f>
        <v>150</v>
      </c>
      <c r="H919" s="49">
        <f t="shared" ref="H919" si="4512">(F919-F918)/F918</f>
        <v>-0.15527065527065528</v>
      </c>
      <c r="I919" s="58">
        <f t="shared" ref="I919" si="4513">(E919-E918)/E918</f>
        <v>-2.4229074889867842E-2</v>
      </c>
      <c r="J919" s="30">
        <f t="shared" ref="J919" si="4514">E919-E918</f>
        <v>-11</v>
      </c>
      <c r="K919" s="62">
        <f t="shared" ref="K919" si="4515">(F919-F867)/F867</f>
        <v>-0.29572446555819476</v>
      </c>
      <c r="L919" s="48">
        <f t="shared" ref="L919" si="4516">AVERAGE(F763,F815,F867)</f>
        <v>678.33333333333337</v>
      </c>
    </row>
    <row r="920" spans="1:12" ht="14.25" x14ac:dyDescent="0.2">
      <c r="A920" s="21">
        <f t="shared" si="3661"/>
        <v>45031</v>
      </c>
      <c r="B920" s="3">
        <v>293</v>
      </c>
      <c r="C920" s="3">
        <v>6</v>
      </c>
      <c r="D920" s="3">
        <v>171</v>
      </c>
      <c r="E920" s="3">
        <f t="shared" ref="E920" si="4517">SUM(B920:D920)</f>
        <v>470</v>
      </c>
      <c r="F920" s="67">
        <v>697</v>
      </c>
      <c r="G920" s="3">
        <f t="shared" ref="G920" si="4518">F920-E920</f>
        <v>227</v>
      </c>
      <c r="H920" s="49">
        <f t="shared" ref="H920" si="4519">(F920-F919)/F919</f>
        <v>0.17537942664418213</v>
      </c>
      <c r="I920" s="58">
        <f t="shared" ref="I920" si="4520">(E920-E919)/E919</f>
        <v>6.0948081264108354E-2</v>
      </c>
      <c r="J920" s="30">
        <f t="shared" ref="J920" si="4521">E920-E919</f>
        <v>27</v>
      </c>
      <c r="K920" s="62">
        <f t="shared" ref="K920" si="4522">(F920-F868)/F868</f>
        <v>-6.6934404283801874E-2</v>
      </c>
      <c r="L920" s="48">
        <f t="shared" ref="L920" si="4523">AVERAGE(F764,F816,F868)</f>
        <v>633.66666666666663</v>
      </c>
    </row>
    <row r="921" spans="1:12" ht="14.25" x14ac:dyDescent="0.2">
      <c r="A921" s="21">
        <f t="shared" si="3661"/>
        <v>45038</v>
      </c>
      <c r="B921" s="3">
        <v>321</v>
      </c>
      <c r="C921" s="3">
        <v>19</v>
      </c>
      <c r="D921" s="3">
        <v>73</v>
      </c>
      <c r="E921" s="3">
        <f t="shared" ref="E921" si="4524">SUM(B921:D921)</f>
        <v>413</v>
      </c>
      <c r="F921" s="67">
        <v>637</v>
      </c>
      <c r="G921" s="3">
        <f t="shared" ref="G921" si="4525">F921-E921</f>
        <v>224</v>
      </c>
      <c r="H921" s="49">
        <f t="shared" ref="H921" si="4526">(F921-F920)/F920</f>
        <v>-8.608321377331421E-2</v>
      </c>
      <c r="I921" s="58">
        <f t="shared" ref="I921" si="4527">(E921-E920)/E920</f>
        <v>-0.12127659574468085</v>
      </c>
      <c r="J921" s="30">
        <f t="shared" ref="J921" si="4528">E921-E920</f>
        <v>-57</v>
      </c>
      <c r="K921" s="62">
        <f t="shared" ref="K921" si="4529">(F921-F869)/F869</f>
        <v>-0.13096862210095497</v>
      </c>
      <c r="L921" s="48">
        <f t="shared" ref="L921" si="4530">AVERAGE(F765,F817,F869)</f>
        <v>691.66666666666663</v>
      </c>
    </row>
    <row r="922" spans="1:12" ht="14.25" x14ac:dyDescent="0.2">
      <c r="A922" s="21">
        <f t="shared" si="3661"/>
        <v>45045</v>
      </c>
      <c r="B922" s="3">
        <v>264</v>
      </c>
      <c r="C922" s="3">
        <v>11</v>
      </c>
      <c r="D922" s="3">
        <v>113</v>
      </c>
      <c r="E922" s="3">
        <f t="shared" ref="E922" si="4531">SUM(B922:D922)</f>
        <v>388</v>
      </c>
      <c r="F922" s="67">
        <v>622</v>
      </c>
      <c r="G922" s="3">
        <f t="shared" ref="G922" si="4532">F922-E922</f>
        <v>234</v>
      </c>
      <c r="H922" s="49">
        <f t="shared" ref="H922" si="4533">(F922-F921)/F921</f>
        <v>-2.3547880690737835E-2</v>
      </c>
      <c r="I922" s="58">
        <f t="shared" ref="I922" si="4534">(E922-E921)/E921</f>
        <v>-6.0532687651331719E-2</v>
      </c>
      <c r="J922" s="30">
        <f t="shared" ref="J922" si="4535">E922-E921</f>
        <v>-25</v>
      </c>
      <c r="K922" s="62">
        <f t="shared" ref="K922" si="4536">(F922-F870)/F870</f>
        <v>-8.5294117647058826E-2</v>
      </c>
      <c r="L922" s="48">
        <f t="shared" ref="L922" si="4537">AVERAGE(F766,F818,F870)</f>
        <v>698</v>
      </c>
    </row>
    <row r="923" spans="1:12" ht="14.25" x14ac:dyDescent="0.2">
      <c r="A923" s="21">
        <f t="shared" si="3661"/>
        <v>45052</v>
      </c>
      <c r="B923" s="3">
        <v>153</v>
      </c>
      <c r="C923" s="3">
        <v>17</v>
      </c>
      <c r="D923" s="3">
        <v>117</v>
      </c>
      <c r="E923" s="3">
        <f t="shared" ref="E923" si="4538">SUM(B923:D923)</f>
        <v>287</v>
      </c>
      <c r="F923" s="67">
        <v>392</v>
      </c>
      <c r="G923" s="3">
        <f t="shared" ref="G923" si="4539">F923-E923</f>
        <v>105</v>
      </c>
      <c r="H923" s="49">
        <f t="shared" ref="H923" si="4540">(F923-F922)/F922</f>
        <v>-0.36977491961414793</v>
      </c>
      <c r="I923" s="58">
        <f t="shared" ref="I923" si="4541">(E923-E922)/E922</f>
        <v>-0.26030927835051548</v>
      </c>
      <c r="J923" s="30">
        <f t="shared" ref="J923" si="4542">E923-E922</f>
        <v>-101</v>
      </c>
      <c r="K923" s="62">
        <f t="shared" ref="K923" si="4543">(F923-F871)/F871</f>
        <v>-0.34006734006734007</v>
      </c>
      <c r="L923" s="48">
        <f t="shared" ref="L923" si="4544">AVERAGE(F767,F819,F871)</f>
        <v>666.33333333333337</v>
      </c>
    </row>
    <row r="924" spans="1:12" ht="14.25" x14ac:dyDescent="0.2">
      <c r="A924" s="21">
        <f t="shared" si="3661"/>
        <v>45059</v>
      </c>
      <c r="B924" s="3">
        <v>112</v>
      </c>
      <c r="C924" s="3">
        <v>17</v>
      </c>
      <c r="D924" s="3">
        <v>58</v>
      </c>
      <c r="E924" s="3">
        <f t="shared" ref="E924" si="4545">SUM(B924:D924)</f>
        <v>187</v>
      </c>
      <c r="F924" s="67">
        <v>527</v>
      </c>
      <c r="G924" s="3">
        <f t="shared" ref="G924" si="4546">F924-E924</f>
        <v>340</v>
      </c>
      <c r="H924" s="49">
        <f t="shared" ref="H924" si="4547">(F924-F923)/F923</f>
        <v>0.34438775510204084</v>
      </c>
      <c r="I924" s="58">
        <f t="shared" ref="I924" si="4548">(E924-E923)/E923</f>
        <v>-0.34843205574912894</v>
      </c>
      <c r="J924" s="30">
        <f t="shared" ref="J924" si="4549">E924-E923</f>
        <v>-100</v>
      </c>
      <c r="K924" s="62">
        <f t="shared" ref="K924" si="4550">(F924-F872)/F872</f>
        <v>-0.22840409956076135</v>
      </c>
      <c r="L924" s="48">
        <f t="shared" ref="L924" si="4551">AVERAGE(F768,F820,F872)</f>
        <v>667.33333333333337</v>
      </c>
    </row>
    <row r="925" spans="1:12" ht="14.25" x14ac:dyDescent="0.2">
      <c r="A925" s="21">
        <f t="shared" si="3661"/>
        <v>45066</v>
      </c>
      <c r="B925" s="3">
        <v>189</v>
      </c>
      <c r="C925" s="3">
        <v>10</v>
      </c>
      <c r="D925" s="3">
        <v>122</v>
      </c>
      <c r="E925" s="3">
        <f t="shared" ref="E925" si="4552">SUM(B925:D925)</f>
        <v>321</v>
      </c>
      <c r="F925" s="67">
        <v>569</v>
      </c>
      <c r="G925" s="3">
        <f t="shared" ref="G925" si="4553">F925-E925</f>
        <v>248</v>
      </c>
      <c r="H925" s="49">
        <f t="shared" ref="H925" si="4554">(F925-F924)/F924</f>
        <v>7.9696394686907021E-2</v>
      </c>
      <c r="I925" s="58">
        <f t="shared" ref="I925" si="4555">(E925-E924)/E924</f>
        <v>0.71657754010695185</v>
      </c>
      <c r="J925" s="30">
        <f t="shared" ref="J925" si="4556">E925-E924</f>
        <v>134</v>
      </c>
      <c r="K925" s="62">
        <f t="shared" ref="K925" si="4557">(F925-F873)/F873</f>
        <v>-0.26485788113695091</v>
      </c>
      <c r="L925" s="48">
        <f t="shared" ref="L925" si="4558">AVERAGE(F769,F821,F873)</f>
        <v>711.33333333333337</v>
      </c>
    </row>
    <row r="926" spans="1:12" ht="14.25" x14ac:dyDescent="0.2">
      <c r="A926" s="21">
        <f t="shared" si="3661"/>
        <v>45073</v>
      </c>
      <c r="B926" s="3">
        <v>430</v>
      </c>
      <c r="C926" s="3">
        <v>11</v>
      </c>
      <c r="D926" s="3">
        <v>75</v>
      </c>
      <c r="E926" s="3">
        <f t="shared" ref="E926" si="4559">SUM(B926:D926)</f>
        <v>516</v>
      </c>
      <c r="F926" s="67">
        <v>601</v>
      </c>
      <c r="G926" s="3">
        <f t="shared" ref="G926" si="4560">F926-E926</f>
        <v>85</v>
      </c>
      <c r="H926" s="49">
        <f t="shared" ref="H926" si="4561">(F926-F925)/F925</f>
        <v>5.6239015817223195E-2</v>
      </c>
      <c r="I926" s="58">
        <f t="shared" ref="I926" si="4562">(E926-E925)/E925</f>
        <v>0.60747663551401865</v>
      </c>
      <c r="J926" s="30">
        <f t="shared" ref="J926" si="4563">E926-E925</f>
        <v>195</v>
      </c>
      <c r="K926" s="62">
        <f t="shared" ref="K926" si="4564">(F926-F874)/F874</f>
        <v>0.26526315789473687</v>
      </c>
      <c r="L926" s="48">
        <f t="shared" ref="L926" si="4565">AVERAGE(F770,F822,F874)</f>
        <v>622.33333333333337</v>
      </c>
    </row>
    <row r="927" spans="1:12" ht="14.25" x14ac:dyDescent="0.2">
      <c r="A927" s="21">
        <f t="shared" si="3661"/>
        <v>45080</v>
      </c>
      <c r="B927" s="3">
        <v>291</v>
      </c>
      <c r="C927" s="3">
        <v>5</v>
      </c>
      <c r="D927" s="3">
        <v>35</v>
      </c>
      <c r="E927" s="3">
        <f t="shared" ref="E927" si="4566">SUM(B927:D927)</f>
        <v>331</v>
      </c>
      <c r="F927" s="67">
        <v>493</v>
      </c>
      <c r="G927" s="3">
        <f t="shared" ref="G927" si="4567">F927-E927</f>
        <v>162</v>
      </c>
      <c r="H927" s="49">
        <f t="shared" ref="H927" si="4568">(F927-F926)/F926</f>
        <v>-0.17970049916805325</v>
      </c>
      <c r="I927" s="58">
        <f t="shared" ref="I927" si="4569">(E927-E926)/E926</f>
        <v>-0.35852713178294576</v>
      </c>
      <c r="J927" s="30">
        <f t="shared" ref="J927" si="4570">E927-E926</f>
        <v>-185</v>
      </c>
      <c r="K927" s="62">
        <f t="shared" ref="K927" si="4571">(F927-F875)/F875</f>
        <v>-0.12433392539964476</v>
      </c>
      <c r="L927" s="48">
        <f t="shared" ref="L927" si="4572">AVERAGE(F771,F823,F875)</f>
        <v>611</v>
      </c>
    </row>
    <row r="928" spans="1:12" ht="14.25" x14ac:dyDescent="0.2">
      <c r="A928" s="21">
        <f t="shared" si="3661"/>
        <v>45087</v>
      </c>
      <c r="B928" s="3">
        <v>225</v>
      </c>
      <c r="C928" s="3">
        <v>3</v>
      </c>
      <c r="D928" s="3">
        <v>37</v>
      </c>
      <c r="E928" s="3">
        <f t="shared" ref="E928" si="4573">SUM(B928:D928)</f>
        <v>265</v>
      </c>
      <c r="F928" s="67">
        <v>506</v>
      </c>
      <c r="G928" s="3">
        <f t="shared" ref="G928" si="4574">F928-E928</f>
        <v>241</v>
      </c>
      <c r="H928" s="49">
        <f t="shared" ref="H928" si="4575">(F928-F927)/F927</f>
        <v>2.6369168356997971E-2</v>
      </c>
      <c r="I928" s="58">
        <f t="shared" ref="I928" si="4576">(E928-E927)/E927</f>
        <v>-0.19939577039274925</v>
      </c>
      <c r="J928" s="30">
        <f t="shared" ref="J928" si="4577">E928-E927</f>
        <v>-66</v>
      </c>
      <c r="K928" s="62">
        <f t="shared" ref="K928" si="4578">(F928-F876)/F876</f>
        <v>-0.28125</v>
      </c>
      <c r="L928" s="48">
        <f t="shared" ref="L928" si="4579">AVERAGE(F772,F824,F876)</f>
        <v>644.66666666666663</v>
      </c>
    </row>
    <row r="929" spans="1:12" ht="14.25" x14ac:dyDescent="0.2">
      <c r="A929" s="21">
        <f t="shared" si="3661"/>
        <v>45094</v>
      </c>
      <c r="B929" s="3">
        <v>253</v>
      </c>
      <c r="C929" s="3">
        <v>12</v>
      </c>
      <c r="D929" s="3">
        <v>40</v>
      </c>
      <c r="E929" s="3">
        <f t="shared" ref="E929" si="4580">SUM(B929:D929)</f>
        <v>305</v>
      </c>
      <c r="F929" s="67">
        <v>457</v>
      </c>
      <c r="G929" s="3">
        <f t="shared" ref="G929" si="4581">F929-E929</f>
        <v>152</v>
      </c>
      <c r="H929" s="49">
        <f t="shared" ref="H929" si="4582">(F929-F928)/F928</f>
        <v>-9.6837944664031617E-2</v>
      </c>
      <c r="I929" s="58">
        <f t="shared" ref="I929" si="4583">(E929-E928)/E928</f>
        <v>0.15094339622641509</v>
      </c>
      <c r="J929" s="30">
        <f t="shared" ref="J929" si="4584">E929-E928</f>
        <v>40</v>
      </c>
      <c r="K929" s="62">
        <f t="shared" ref="K929" si="4585">(F929-F877)/F877</f>
        <v>-7.4898785425101214E-2</v>
      </c>
      <c r="L929" s="48">
        <f t="shared" ref="L929" si="4586">AVERAGE(F773,F825,F877)</f>
        <v>592</v>
      </c>
    </row>
    <row r="930" spans="1:12" ht="14.25" x14ac:dyDescent="0.2">
      <c r="A930" s="21">
        <f t="shared" si="3661"/>
        <v>45101</v>
      </c>
      <c r="B930" s="3">
        <v>203</v>
      </c>
      <c r="C930" s="3">
        <v>12</v>
      </c>
      <c r="D930" s="3">
        <v>45</v>
      </c>
      <c r="E930" s="3">
        <f t="shared" ref="E930" si="4587">SUM(B930:D930)</f>
        <v>260</v>
      </c>
      <c r="F930" s="67">
        <v>309</v>
      </c>
      <c r="G930" s="3">
        <f t="shared" ref="G930" si="4588">F930-E930</f>
        <v>49</v>
      </c>
      <c r="H930" s="49">
        <f t="shared" ref="H930" si="4589">(F930-F929)/F929</f>
        <v>-0.32385120350109409</v>
      </c>
      <c r="I930" s="58">
        <f t="shared" ref="I930" si="4590">(E930-E929)/E929</f>
        <v>-0.14754098360655737</v>
      </c>
      <c r="J930" s="30">
        <f t="shared" ref="J930" si="4591">E930-E929</f>
        <v>-45</v>
      </c>
      <c r="K930" s="62">
        <f t="shared" ref="K930" si="4592">(F930-F878)/F878</f>
        <v>-0.33261339092872572</v>
      </c>
      <c r="L930" s="48">
        <f t="shared" ref="L930" si="4593">AVERAGE(F774,F826,F878)</f>
        <v>505.33333333333331</v>
      </c>
    </row>
    <row r="931" spans="1:12" ht="14.25" x14ac:dyDescent="0.2">
      <c r="A931" s="21">
        <f t="shared" si="3661"/>
        <v>45108</v>
      </c>
      <c r="B931" s="3">
        <v>192</v>
      </c>
      <c r="C931" s="3">
        <v>18</v>
      </c>
      <c r="D931" s="3">
        <v>56</v>
      </c>
      <c r="E931" s="3">
        <f t="shared" ref="E931" si="4594">SUM(B931:D931)</f>
        <v>266</v>
      </c>
      <c r="F931" s="67">
        <v>432</v>
      </c>
      <c r="G931" s="3">
        <f t="shared" ref="G931" si="4595">F931-E931</f>
        <v>166</v>
      </c>
      <c r="H931" s="49">
        <f t="shared" ref="H931" si="4596">(F931-F930)/F930</f>
        <v>0.39805825242718446</v>
      </c>
      <c r="I931" s="58">
        <f t="shared" ref="I931" si="4597">(E931-E930)/E930</f>
        <v>2.3076923076923078E-2</v>
      </c>
      <c r="J931" s="30">
        <f t="shared" ref="J931" si="4598">E931-E930</f>
        <v>6</v>
      </c>
      <c r="K931" s="62">
        <f t="shared" ref="K931" si="4599">(F931-F879)/F879</f>
        <v>8.8161209068010074E-2</v>
      </c>
      <c r="L931" s="48">
        <f t="shared" ref="L931" si="4600">AVERAGE(F775,F827,F879)</f>
        <v>530.33333333333337</v>
      </c>
    </row>
    <row r="932" spans="1:12" ht="14.25" x14ac:dyDescent="0.2">
      <c r="A932" s="21">
        <f t="shared" si="3661"/>
        <v>45115</v>
      </c>
      <c r="B932" s="3">
        <v>236</v>
      </c>
      <c r="C932" s="3">
        <v>20</v>
      </c>
      <c r="D932" s="3">
        <v>84</v>
      </c>
      <c r="E932" s="3">
        <f t="shared" ref="E932" si="4601">SUM(B932:D932)</f>
        <v>340</v>
      </c>
      <c r="F932" s="67">
        <v>376</v>
      </c>
      <c r="G932" s="3">
        <f t="shared" ref="G932" si="4602">F932-E932</f>
        <v>36</v>
      </c>
      <c r="H932" s="49">
        <f t="shared" ref="H932" si="4603">(F932-F931)/F931</f>
        <v>-0.12962962962962962</v>
      </c>
      <c r="I932" s="58">
        <f t="shared" ref="I932" si="4604">(E932-E931)/E931</f>
        <v>0.2781954887218045</v>
      </c>
      <c r="J932" s="30">
        <f t="shared" ref="J932" si="4605">E932-E931</f>
        <v>74</v>
      </c>
      <c r="K932" s="62">
        <f t="shared" ref="K932" si="4606">(F932-F880)/F880</f>
        <v>-0.35616438356164382</v>
      </c>
      <c r="L932" s="48">
        <f t="shared" ref="L932" si="4607">AVERAGE(F776,F828,F880)</f>
        <v>595.66666666666663</v>
      </c>
    </row>
    <row r="933" spans="1:12" ht="14.25" x14ac:dyDescent="0.2">
      <c r="A933" s="21">
        <f t="shared" si="3661"/>
        <v>45122</v>
      </c>
      <c r="B933" s="3">
        <v>178</v>
      </c>
      <c r="C933" s="3">
        <v>16</v>
      </c>
      <c r="D933" s="3">
        <v>73</v>
      </c>
      <c r="E933" s="3">
        <f t="shared" ref="E933" si="4608">SUM(B933:D933)</f>
        <v>267</v>
      </c>
      <c r="F933" s="67">
        <v>343</v>
      </c>
      <c r="G933" s="3">
        <f t="shared" ref="G933" si="4609">F933-E933</f>
        <v>76</v>
      </c>
      <c r="H933" s="49">
        <f t="shared" ref="H933" si="4610">(F933-F932)/F932</f>
        <v>-8.7765957446808512E-2</v>
      </c>
      <c r="I933" s="58">
        <f t="shared" ref="I933" si="4611">(E933-E932)/E932</f>
        <v>-0.21470588235294116</v>
      </c>
      <c r="J933" s="30">
        <f t="shared" ref="J933" si="4612">E933-E932</f>
        <v>-73</v>
      </c>
      <c r="K933" s="62">
        <f t="shared" ref="K933" si="4613">(F933-F881)/F881</f>
        <v>-0.42060810810810811</v>
      </c>
      <c r="L933" s="48">
        <f t="shared" ref="L933" si="4614">AVERAGE(F777,F829,F881)</f>
        <v>573.66666666666663</v>
      </c>
    </row>
    <row r="934" spans="1:12" ht="14.25" x14ac:dyDescent="0.2">
      <c r="A934" s="21">
        <f t="shared" si="3661"/>
        <v>45129</v>
      </c>
      <c r="B934" s="3">
        <v>191</v>
      </c>
      <c r="C934" s="3">
        <v>12</v>
      </c>
      <c r="D934" s="3">
        <v>65</v>
      </c>
      <c r="E934" s="3">
        <f t="shared" ref="E934" si="4615">SUM(B934:D934)</f>
        <v>268</v>
      </c>
      <c r="F934" s="67">
        <v>470</v>
      </c>
      <c r="G934" s="3">
        <f t="shared" ref="G934" si="4616">F934-E934</f>
        <v>202</v>
      </c>
      <c r="H934" s="49">
        <f t="shared" ref="H934" si="4617">(F934-F933)/F933</f>
        <v>0.37026239067055394</v>
      </c>
      <c r="I934" s="58">
        <f t="shared" ref="I934" si="4618">(E934-E933)/E933</f>
        <v>3.7453183520599251E-3</v>
      </c>
      <c r="J934" s="30">
        <f t="shared" ref="J934" si="4619">E934-E933</f>
        <v>1</v>
      </c>
      <c r="K934" s="62">
        <f t="shared" ref="K934" si="4620">(F934-F882)/F882</f>
        <v>-7.8431372549019607E-2</v>
      </c>
      <c r="L934" s="48">
        <f t="shared" ref="L934" si="4621">AVERAGE(F778,F830,F882)</f>
        <v>582</v>
      </c>
    </row>
    <row r="935" spans="1:12" ht="14.25" x14ac:dyDescent="0.2">
      <c r="A935" s="21">
        <f t="shared" si="3661"/>
        <v>45136</v>
      </c>
      <c r="B935" s="3">
        <v>203</v>
      </c>
      <c r="C935" s="3">
        <v>19</v>
      </c>
      <c r="D935" s="3">
        <v>58</v>
      </c>
      <c r="E935" s="3">
        <f t="shared" ref="E935" si="4622">SUM(B935:D935)</f>
        <v>280</v>
      </c>
      <c r="F935" s="67">
        <v>448</v>
      </c>
      <c r="G935" s="3">
        <f t="shared" ref="G935" si="4623">F935-E935</f>
        <v>168</v>
      </c>
      <c r="H935" s="49">
        <f t="shared" ref="H935" si="4624">(F935-F934)/F934</f>
        <v>-4.6808510638297871E-2</v>
      </c>
      <c r="I935" s="58">
        <f t="shared" ref="I935" si="4625">(E935-E934)/E934</f>
        <v>4.4776119402985072E-2</v>
      </c>
      <c r="J935" s="30">
        <f t="shared" ref="J935" si="4626">E935-E934</f>
        <v>12</v>
      </c>
      <c r="K935" s="62">
        <f t="shared" ref="K935" si="4627">(F935-F883)/F883</f>
        <v>-0.40266666666666667</v>
      </c>
      <c r="L935" s="48">
        <f t="shared" ref="L935" si="4628">AVERAGE(F779,F831,F883)</f>
        <v>672</v>
      </c>
    </row>
    <row r="936" spans="1:12" ht="14.25" x14ac:dyDescent="0.2">
      <c r="A936" s="21">
        <f t="shared" si="3661"/>
        <v>45143</v>
      </c>
      <c r="B936" s="3">
        <v>147</v>
      </c>
      <c r="C936" s="3">
        <v>22</v>
      </c>
      <c r="D936" s="3">
        <v>36</v>
      </c>
      <c r="E936" s="3">
        <f t="shared" ref="E936" si="4629">SUM(B936:D936)</f>
        <v>205</v>
      </c>
      <c r="F936" s="67">
        <v>497</v>
      </c>
      <c r="G936" s="3">
        <f t="shared" ref="G936" si="4630">F936-E936</f>
        <v>292</v>
      </c>
      <c r="H936" s="49">
        <f t="shared" ref="H936" si="4631">(F936-F935)/F935</f>
        <v>0.109375</v>
      </c>
      <c r="I936" s="58">
        <f t="shared" ref="I936" si="4632">(E936-E935)/E935</f>
        <v>-0.26785714285714285</v>
      </c>
      <c r="J936" s="30">
        <f t="shared" ref="J936" si="4633">E936-E935</f>
        <v>-75</v>
      </c>
      <c r="K936" s="62">
        <f t="shared" ref="K936" si="4634">(F936-F884)/F884</f>
        <v>-0.27019089574155652</v>
      </c>
      <c r="L936" s="48">
        <f t="shared" ref="L936" si="4635">AVERAGE(F780,F832,F884)</f>
        <v>686</v>
      </c>
    </row>
    <row r="937" spans="1:12" ht="14.25" x14ac:dyDescent="0.2">
      <c r="A937" s="21">
        <f t="shared" si="3661"/>
        <v>45150</v>
      </c>
      <c r="B937" s="3">
        <v>149</v>
      </c>
      <c r="C937" s="3">
        <v>13</v>
      </c>
      <c r="D937" s="3">
        <v>71</v>
      </c>
      <c r="E937" s="3">
        <f t="shared" ref="E937" si="4636">SUM(B937:D937)</f>
        <v>233</v>
      </c>
      <c r="F937" s="67">
        <v>427</v>
      </c>
      <c r="G937" s="3">
        <f t="shared" ref="G937" si="4637">F937-E937</f>
        <v>194</v>
      </c>
      <c r="H937" s="49">
        <f t="shared" ref="H937" si="4638">(F937-F936)/F936</f>
        <v>-0.14084507042253522</v>
      </c>
      <c r="I937" s="58">
        <f t="shared" ref="I937" si="4639">(E937-E936)/E936</f>
        <v>0.13658536585365855</v>
      </c>
      <c r="J937" s="30">
        <f t="shared" ref="J937" si="4640">E937-E936</f>
        <v>28</v>
      </c>
      <c r="K937" s="62">
        <f t="shared" ref="K937" si="4641">(F937-F885)/F885</f>
        <v>-9.7251585623678652E-2</v>
      </c>
      <c r="L937" s="48">
        <f t="shared" ref="L937" si="4642">AVERAGE(F781,F833,F885)</f>
        <v>573</v>
      </c>
    </row>
    <row r="938" spans="1:12" ht="14.25" x14ac:dyDescent="0.2">
      <c r="A938" s="21">
        <f t="shared" si="3661"/>
        <v>45157</v>
      </c>
      <c r="B938" s="3">
        <v>91</v>
      </c>
      <c r="C938" s="3">
        <v>4</v>
      </c>
      <c r="D938" s="3">
        <v>24</v>
      </c>
      <c r="E938" s="3">
        <f t="shared" ref="E938" si="4643">SUM(B938:D938)</f>
        <v>119</v>
      </c>
      <c r="F938" s="67">
        <v>422</v>
      </c>
      <c r="G938" s="3">
        <f t="shared" ref="G938" si="4644">F938-E938</f>
        <v>303</v>
      </c>
      <c r="H938" s="49">
        <f t="shared" ref="H938" si="4645">(F938-F937)/F937</f>
        <v>-1.1709601873536301E-2</v>
      </c>
      <c r="I938" s="58">
        <f t="shared" ref="I938" si="4646">(E938-E937)/E937</f>
        <v>-0.48927038626609443</v>
      </c>
      <c r="J938" s="30">
        <f t="shared" ref="J938" si="4647">E938-E937</f>
        <v>-114</v>
      </c>
      <c r="K938" s="62">
        <f t="shared" ref="K938" si="4648">(F938-F886)/F886</f>
        <v>-0.34976887519260402</v>
      </c>
      <c r="L938" s="48">
        <f t="shared" ref="L938" si="4649">AVERAGE(F782,F834,F886)</f>
        <v>605.33333333333337</v>
      </c>
    </row>
    <row r="939" spans="1:12" ht="14.25" x14ac:dyDescent="0.2">
      <c r="A939" s="21">
        <f t="shared" si="3661"/>
        <v>45164</v>
      </c>
      <c r="B939" s="3">
        <v>96</v>
      </c>
      <c r="C939" s="3">
        <v>5</v>
      </c>
      <c r="D939" s="3">
        <v>39</v>
      </c>
      <c r="E939" s="3">
        <f t="shared" ref="E939" si="4650">SUM(B939:D939)</f>
        <v>140</v>
      </c>
      <c r="F939" s="67">
        <v>398</v>
      </c>
      <c r="G939" s="3">
        <f t="shared" ref="G939" si="4651">F939-E939</f>
        <v>258</v>
      </c>
      <c r="H939" s="49">
        <f t="shared" ref="H939" si="4652">(F939-F938)/F938</f>
        <v>-5.6872037914691941E-2</v>
      </c>
      <c r="I939" s="58">
        <f t="shared" ref="I939" si="4653">(E939-E938)/E938</f>
        <v>0.17647058823529413</v>
      </c>
      <c r="J939" s="30">
        <f t="shared" ref="J939" si="4654">E939-E938</f>
        <v>21</v>
      </c>
      <c r="K939" s="62">
        <f t="shared" ref="K939" si="4655">(F939-F887)/F887</f>
        <v>-0.22417153996101363</v>
      </c>
      <c r="L939" s="48" t="e">
        <f t="shared" ref="L939" si="4656">AVERAGE(F783,F835,F887)</f>
        <v>#N/A</v>
      </c>
    </row>
    <row r="940" spans="1:12" ht="14.25" x14ac:dyDescent="0.2">
      <c r="A940" s="21">
        <f t="shared" si="3661"/>
        <v>45171</v>
      </c>
      <c r="B940" s="3">
        <v>15</v>
      </c>
      <c r="C940" s="3">
        <v>11</v>
      </c>
      <c r="D940" s="3">
        <v>48</v>
      </c>
      <c r="E940" s="3">
        <f t="shared" ref="E940" si="4657">SUM(B940:D940)</f>
        <v>74</v>
      </c>
      <c r="F940" s="67">
        <v>455</v>
      </c>
      <c r="G940" s="3">
        <f t="shared" ref="G940" si="4658">F940-E940</f>
        <v>381</v>
      </c>
      <c r="H940" s="49">
        <f t="shared" ref="H940" si="4659">(F940-F939)/F939</f>
        <v>0.14321608040201006</v>
      </c>
      <c r="I940" s="58">
        <f t="shared" ref="I940" si="4660">(E940-E939)/E939</f>
        <v>-0.47142857142857142</v>
      </c>
      <c r="J940" s="30">
        <f t="shared" ref="J940" si="4661">E940-E939</f>
        <v>-66</v>
      </c>
      <c r="K940" s="62">
        <f t="shared" ref="K940" si="4662">(F940-F888)/F888</f>
        <v>-3.1914893617021274E-2</v>
      </c>
      <c r="L940" s="48" t="e">
        <f t="shared" ref="L940" si="4663">AVERAGE(F784,F836,F888)</f>
        <v>#N/A</v>
      </c>
    </row>
    <row r="941" spans="1:12" ht="14.25" x14ac:dyDescent="0.2">
      <c r="A941" s="21">
        <f t="shared" si="3661"/>
        <v>45178</v>
      </c>
      <c r="B941" s="3">
        <v>52</v>
      </c>
      <c r="C941" s="3">
        <v>15</v>
      </c>
      <c r="D941" s="3">
        <v>39</v>
      </c>
      <c r="E941" s="3">
        <f t="shared" ref="E941" si="4664">SUM(B941:D941)</f>
        <v>106</v>
      </c>
      <c r="F941" s="67">
        <v>528</v>
      </c>
      <c r="G941" s="3">
        <f t="shared" ref="G941" si="4665">F941-E941</f>
        <v>422</v>
      </c>
      <c r="H941" s="49">
        <f t="shared" ref="H941" si="4666">(F941-F940)/F940</f>
        <v>0.16043956043956045</v>
      </c>
      <c r="I941" s="58">
        <f t="shared" ref="I941" si="4667">(E941-E940)/E940</f>
        <v>0.43243243243243246</v>
      </c>
      <c r="J941" s="30">
        <f t="shared" ref="J941" si="4668">E941-E940</f>
        <v>32</v>
      </c>
      <c r="K941" s="62">
        <f t="shared" ref="K941" si="4669">(F941-F889)/F889</f>
        <v>0.51724137931034486</v>
      </c>
      <c r="L941" s="48" t="e">
        <f t="shared" ref="L941" si="4670">AVERAGE(F785,F837,F889)</f>
        <v>#N/A</v>
      </c>
    </row>
    <row r="942" spans="1:12" ht="14.25" x14ac:dyDescent="0.2">
      <c r="A942" s="21">
        <f t="shared" si="3661"/>
        <v>45185</v>
      </c>
      <c r="B942" s="3">
        <v>44</v>
      </c>
      <c r="C942" s="3">
        <v>14</v>
      </c>
      <c r="D942" s="3">
        <v>23</v>
      </c>
      <c r="E942" s="3">
        <f t="shared" ref="E942" si="4671">SUM(B942:D942)</f>
        <v>81</v>
      </c>
      <c r="F942" s="67">
        <v>516</v>
      </c>
      <c r="G942" s="3">
        <f t="shared" ref="G942" si="4672">F942-E942</f>
        <v>435</v>
      </c>
      <c r="H942" s="49">
        <f t="shared" ref="H942" si="4673">(F942-F941)/F941</f>
        <v>-2.2727272727272728E-2</v>
      </c>
      <c r="I942" s="58">
        <f t="shared" ref="I942" si="4674">(E942-E941)/E941</f>
        <v>-0.23584905660377359</v>
      </c>
      <c r="J942" s="30">
        <f t="shared" ref="J942" si="4675">E942-E941</f>
        <v>-25</v>
      </c>
      <c r="K942" s="62">
        <f t="shared" ref="K942" si="4676">(F942-F890)/F890</f>
        <v>-0.11492281303602059</v>
      </c>
      <c r="L942" s="48">
        <f t="shared" ref="L942" si="4677">AVERAGE(F786,F838,F890)</f>
        <v>491.66666666666669</v>
      </c>
    </row>
    <row r="943" spans="1:12" ht="14.25" x14ac:dyDescent="0.2">
      <c r="A943" s="21">
        <f t="shared" si="3661"/>
        <v>45192</v>
      </c>
      <c r="B943" s="3">
        <v>31</v>
      </c>
      <c r="C943" s="3">
        <v>33</v>
      </c>
      <c r="D943" s="3">
        <v>69</v>
      </c>
      <c r="E943" s="3">
        <f t="shared" ref="E943" si="4678">SUM(B943:D943)</f>
        <v>133</v>
      </c>
      <c r="F943" s="67">
        <v>575</v>
      </c>
      <c r="G943" s="3">
        <f t="shared" ref="G943" si="4679">F943-E943</f>
        <v>442</v>
      </c>
      <c r="H943" s="49">
        <f t="shared" ref="H943" si="4680">(F943-F942)/F942</f>
        <v>0.11434108527131782</v>
      </c>
      <c r="I943" s="58">
        <f t="shared" ref="I943" si="4681">(E943-E942)/E942</f>
        <v>0.64197530864197527</v>
      </c>
      <c r="J943" s="30">
        <f t="shared" ref="J943" si="4682">E943-E942</f>
        <v>52</v>
      </c>
      <c r="K943" s="62">
        <f t="shared" ref="K943" si="4683">(F943-F891)/F891</f>
        <v>0.17586912065439672</v>
      </c>
      <c r="L943" s="48">
        <f t="shared" ref="L943" si="4684">AVERAGE(F787,F839,F891)</f>
        <v>530.66666666666663</v>
      </c>
    </row>
    <row r="944" spans="1:12" ht="14.25" x14ac:dyDescent="0.2">
      <c r="A944" s="21">
        <f t="shared" si="3661"/>
        <v>45199</v>
      </c>
      <c r="B944" s="3">
        <v>72</v>
      </c>
      <c r="C944" s="3">
        <v>23</v>
      </c>
      <c r="D944" s="3">
        <v>201</v>
      </c>
      <c r="E944" s="3">
        <f t="shared" ref="E944" si="4685">SUM(B944:D944)</f>
        <v>296</v>
      </c>
      <c r="F944" s="67">
        <v>718</v>
      </c>
      <c r="G944" s="3">
        <f t="shared" ref="G944" si="4686">F944-E944</f>
        <v>422</v>
      </c>
      <c r="H944" s="49">
        <f t="shared" ref="H944" si="4687">(F944-F943)/F943</f>
        <v>0.24869565217391304</v>
      </c>
      <c r="I944" s="58">
        <f t="shared" ref="I944" si="4688">(E944-E943)/E943</f>
        <v>1.2255639097744362</v>
      </c>
      <c r="J944" s="30">
        <f t="shared" ref="J944" si="4689">E944-E943</f>
        <v>163</v>
      </c>
      <c r="K944" s="62">
        <f t="shared" ref="K944" si="4690">(F944-F892)/F892</f>
        <v>0.24652777777777779</v>
      </c>
      <c r="L944" s="48">
        <f t="shared" ref="L944" si="4691">AVERAGE(F788,F840,F892)</f>
        <v>708.66666666666663</v>
      </c>
    </row>
    <row r="945" spans="1:13" ht="14.25" x14ac:dyDescent="0.2">
      <c r="A945" s="21">
        <f t="shared" si="3661"/>
        <v>45206</v>
      </c>
      <c r="B945" s="3">
        <v>80</v>
      </c>
      <c r="C945" s="3">
        <v>26</v>
      </c>
      <c r="D945" s="3">
        <v>141</v>
      </c>
      <c r="E945" s="3">
        <f t="shared" ref="E945" si="4692">SUM(B945:D945)</f>
        <v>247</v>
      </c>
      <c r="F945" s="67">
        <v>912</v>
      </c>
      <c r="G945" s="3">
        <f t="shared" ref="G945" si="4693">F945-E945</f>
        <v>665</v>
      </c>
      <c r="H945" s="49">
        <f t="shared" ref="H945" si="4694">(F945-F944)/F944</f>
        <v>0.27019498607242337</v>
      </c>
      <c r="I945" s="58">
        <f t="shared" ref="I945" si="4695">(E945-E944)/E944</f>
        <v>-0.16554054054054054</v>
      </c>
      <c r="J945" s="30">
        <f t="shared" ref="J945" si="4696">E945-E944</f>
        <v>-49</v>
      </c>
      <c r="K945" s="62">
        <f t="shared" ref="K945" si="4697">(F945-F893)/F893</f>
        <v>0.93220338983050843</v>
      </c>
      <c r="L945" s="48">
        <f t="shared" ref="L945" si="4698">AVERAGE(F789,F841,F893)</f>
        <v>659.33333333333337</v>
      </c>
    </row>
    <row r="946" spans="1:13" ht="14.25" x14ac:dyDescent="0.2">
      <c r="A946" s="21">
        <f t="shared" si="3661"/>
        <v>45213</v>
      </c>
      <c r="B946" s="3">
        <v>174</v>
      </c>
      <c r="C946" s="3">
        <v>19</v>
      </c>
      <c r="D946" s="3">
        <v>138</v>
      </c>
      <c r="E946" s="3">
        <f t="shared" ref="E946" si="4699">SUM(B946:D946)</f>
        <v>331</v>
      </c>
      <c r="F946" s="67">
        <v>867</v>
      </c>
      <c r="G946" s="3">
        <f t="shared" ref="G946" si="4700">F946-E946</f>
        <v>536</v>
      </c>
      <c r="H946" s="49">
        <f t="shared" ref="H946" si="4701">(F946-F945)/F945</f>
        <v>-4.9342105263157895E-2</v>
      </c>
      <c r="I946" s="58">
        <f t="shared" ref="I946" si="4702">(E946-E945)/E945</f>
        <v>0.34008097165991902</v>
      </c>
      <c r="J946" s="30">
        <f t="shared" ref="J946" si="4703">E946-E945</f>
        <v>84</v>
      </c>
      <c r="K946" s="62">
        <f t="shared" ref="K946" si="4704">(F946-F894)/F894</f>
        <v>0.21258741258741259</v>
      </c>
      <c r="L946" s="48">
        <f t="shared" ref="L946" si="4705">AVERAGE(F790,F842,F894)</f>
        <v>806.66666666666663</v>
      </c>
    </row>
    <row r="947" spans="1:13" ht="14.25" x14ac:dyDescent="0.2">
      <c r="A947" s="21">
        <f t="shared" si="3661"/>
        <v>45220</v>
      </c>
      <c r="B947" s="3">
        <v>224</v>
      </c>
      <c r="C947" s="3">
        <v>0</v>
      </c>
      <c r="D947" s="3">
        <v>132</v>
      </c>
      <c r="E947" s="3">
        <f t="shared" ref="E947" si="4706">SUM(B947:D947)</f>
        <v>356</v>
      </c>
      <c r="F947" s="67">
        <v>750</v>
      </c>
      <c r="G947" s="3">
        <f t="shared" ref="G947" si="4707">F947-E947</f>
        <v>394</v>
      </c>
      <c r="H947" s="49">
        <f t="shared" ref="H947" si="4708">(F947-F946)/F946</f>
        <v>-0.13494809688581316</v>
      </c>
      <c r="I947" s="58">
        <f t="shared" ref="I947" si="4709">(E947-E946)/E946</f>
        <v>7.5528700906344406E-2</v>
      </c>
      <c r="J947" s="30">
        <f t="shared" ref="J947" si="4710">E947-E946</f>
        <v>25</v>
      </c>
      <c r="K947" s="62">
        <f t="shared" ref="K947" si="4711">(F947-F895)/F895</f>
        <v>-0.11868390129259694</v>
      </c>
      <c r="L947" s="48">
        <f t="shared" ref="L947" si="4712">AVERAGE(F791,F843,F895)</f>
        <v>865</v>
      </c>
    </row>
    <row r="948" spans="1:13" ht="14.25" x14ac:dyDescent="0.2">
      <c r="A948" s="21">
        <f t="shared" si="3661"/>
        <v>45227</v>
      </c>
      <c r="B948" s="3">
        <v>269</v>
      </c>
      <c r="C948" s="3">
        <v>28</v>
      </c>
      <c r="D948" s="3">
        <v>251</v>
      </c>
      <c r="E948" s="3">
        <f t="shared" ref="E948" si="4713">SUM(B948:D948)</f>
        <v>548</v>
      </c>
      <c r="F948" s="67">
        <v>667</v>
      </c>
      <c r="G948" s="3">
        <f t="shared" ref="G948" si="4714">F948-E948</f>
        <v>119</v>
      </c>
      <c r="H948" s="49">
        <f t="shared" ref="H948" si="4715">(F948-F947)/F947</f>
        <v>-0.11066666666666666</v>
      </c>
      <c r="I948" s="58">
        <f t="shared" ref="I948" si="4716">(E948-E947)/E947</f>
        <v>0.5393258426966292</v>
      </c>
      <c r="J948" s="30">
        <f t="shared" ref="J948" si="4717">E948-E947</f>
        <v>192</v>
      </c>
      <c r="K948" s="62">
        <f t="shared" ref="K948" si="4718">(F948-F896)/F896</f>
        <v>0.11538461538461539</v>
      </c>
      <c r="L948" s="48">
        <f t="shared" ref="L948" si="4719">AVERAGE(F792,F844,F896)</f>
        <v>703.33333333333337</v>
      </c>
    </row>
    <row r="949" spans="1:13" ht="14.25" x14ac:dyDescent="0.2">
      <c r="A949" s="21">
        <f t="shared" si="3661"/>
        <v>45234</v>
      </c>
      <c r="B949" s="3">
        <v>250</v>
      </c>
      <c r="C949" s="3">
        <v>16</v>
      </c>
      <c r="D949" s="3">
        <v>142</v>
      </c>
      <c r="E949" s="3">
        <f t="shared" ref="E949" si="4720">SUM(B949:D949)</f>
        <v>408</v>
      </c>
      <c r="F949" s="67">
        <v>752</v>
      </c>
      <c r="G949" s="3">
        <f t="shared" ref="G949" si="4721">F949-E949</f>
        <v>344</v>
      </c>
      <c r="H949" s="49">
        <f t="shared" ref="H949" si="4722">(F949-F948)/F948</f>
        <v>0.12743628185907047</v>
      </c>
      <c r="I949" s="58">
        <f t="shared" ref="I949" si="4723">(E949-E948)/E948</f>
        <v>-0.25547445255474455</v>
      </c>
      <c r="J949" s="30">
        <f t="shared" ref="J949" si="4724">E949-E948</f>
        <v>-140</v>
      </c>
      <c r="K949" s="62">
        <f t="shared" ref="K949" si="4725">(F949-F897)/F897</f>
        <v>0.21880064829821719</v>
      </c>
      <c r="L949" s="48">
        <f t="shared" ref="L949" si="4726">AVERAGE(F793,F845,F897)</f>
        <v>814.66666666666663</v>
      </c>
    </row>
    <row r="950" spans="1:13" ht="14.25" x14ac:dyDescent="0.2">
      <c r="A950" s="21">
        <f t="shared" si="3661"/>
        <v>45241</v>
      </c>
      <c r="B950" s="3">
        <v>255</v>
      </c>
      <c r="C950" s="3">
        <v>23</v>
      </c>
      <c r="D950" s="3">
        <v>237</v>
      </c>
      <c r="E950" s="3">
        <f t="shared" ref="E950" si="4727">SUM(B950:D950)</f>
        <v>515</v>
      </c>
      <c r="F950" s="67">
        <v>726</v>
      </c>
      <c r="G950" s="3">
        <f t="shared" ref="G950" si="4728">F950-E950</f>
        <v>211</v>
      </c>
      <c r="H950" s="49">
        <f t="shared" ref="H950" si="4729">(F950-F949)/F949</f>
        <v>-3.4574468085106384E-2</v>
      </c>
      <c r="I950" s="58">
        <f t="shared" ref="I950" si="4730">(E950-E949)/E949</f>
        <v>0.26225490196078433</v>
      </c>
      <c r="J950" s="30">
        <f t="shared" ref="J950" si="4731">E950-E949</f>
        <v>107</v>
      </c>
      <c r="K950" s="62">
        <f t="shared" ref="K950" si="4732">(F950-F898)/F898</f>
        <v>-0.12530120481927712</v>
      </c>
      <c r="L950" s="48">
        <f t="shared" ref="L950" si="4733">AVERAGE(F794,F846,F898)</f>
        <v>883.66666666666663</v>
      </c>
    </row>
    <row r="951" spans="1:13" ht="14.25" x14ac:dyDescent="0.2">
      <c r="A951" s="21">
        <f t="shared" si="3661"/>
        <v>45248</v>
      </c>
      <c r="B951" s="3">
        <v>285</v>
      </c>
      <c r="C951" s="3">
        <v>15</v>
      </c>
      <c r="D951" s="3">
        <v>173</v>
      </c>
      <c r="E951" s="3">
        <f t="shared" ref="E951" si="4734">SUM(B951:D951)</f>
        <v>473</v>
      </c>
      <c r="F951" s="67">
        <v>712</v>
      </c>
      <c r="G951" s="3">
        <f t="shared" ref="G951" si="4735">F951-E951</f>
        <v>239</v>
      </c>
      <c r="H951" s="49">
        <f t="shared" ref="H951" si="4736">(F951-F950)/F950</f>
        <v>-1.928374655647383E-2</v>
      </c>
      <c r="I951" s="58">
        <f t="shared" ref="I951" si="4737">(E951-E950)/E950</f>
        <v>-8.155339805825243E-2</v>
      </c>
      <c r="J951" s="30">
        <f t="shared" ref="J951" si="4738">E951-E950</f>
        <v>-42</v>
      </c>
      <c r="K951" s="62">
        <f t="shared" ref="K951" si="4739">(F951-F899)/F899</f>
        <v>-0.13801452784503632</v>
      </c>
      <c r="L951" s="48">
        <f t="shared" ref="L951" si="4740">AVERAGE(F795,F847,F899)</f>
        <v>902.33333333333337</v>
      </c>
    </row>
    <row r="952" spans="1:13" ht="14.25" x14ac:dyDescent="0.2">
      <c r="A952" s="21">
        <f t="shared" si="3661"/>
        <v>45255</v>
      </c>
      <c r="B952" s="3">
        <v>358</v>
      </c>
      <c r="C952" s="3">
        <v>30</v>
      </c>
      <c r="D952" s="3">
        <v>204</v>
      </c>
      <c r="E952" s="3">
        <f t="shared" ref="E952" si="4741">SUM(B952:D952)</f>
        <v>592</v>
      </c>
      <c r="F952" s="67">
        <v>641</v>
      </c>
      <c r="G952" s="3">
        <f t="shared" ref="G952" si="4742">F952-E952</f>
        <v>49</v>
      </c>
      <c r="H952" s="49">
        <f t="shared" ref="H952" si="4743">(F952-F951)/F951</f>
        <v>-9.9719101123595499E-2</v>
      </c>
      <c r="I952" s="58">
        <f t="shared" ref="I952" si="4744">(E952-E951)/E951</f>
        <v>0.25158562367864695</v>
      </c>
      <c r="J952" s="30">
        <f t="shared" ref="J952" si="4745">E952-E951</f>
        <v>119</v>
      </c>
      <c r="K952" s="62">
        <f t="shared" ref="K952" si="4746">(F952-F900)/F900</f>
        <v>-0.12311901504787962</v>
      </c>
      <c r="L952" s="48">
        <f t="shared" ref="L952" si="4747">AVERAGE(F796,F848,F900)</f>
        <v>872.66666666666663</v>
      </c>
    </row>
    <row r="953" spans="1:13" ht="14.25" x14ac:dyDescent="0.2">
      <c r="A953" s="21">
        <f t="shared" si="3661"/>
        <v>45262</v>
      </c>
      <c r="B953" s="3">
        <v>267</v>
      </c>
      <c r="C953" s="3">
        <v>19</v>
      </c>
      <c r="D953" s="3">
        <v>166</v>
      </c>
      <c r="E953" s="3">
        <f t="shared" ref="E953" si="4748">SUM(B953:D953)</f>
        <v>452</v>
      </c>
      <c r="F953" s="67">
        <v>532</v>
      </c>
      <c r="G953" s="3">
        <f t="shared" ref="G953" si="4749">F953-E953</f>
        <v>80</v>
      </c>
      <c r="H953" s="49">
        <f t="shared" ref="H953" si="4750">(F953-F952)/F952</f>
        <v>-0.17004680187207488</v>
      </c>
      <c r="I953" s="58">
        <f t="shared" ref="I953" si="4751">(E953-E952)/E952</f>
        <v>-0.23648648648648649</v>
      </c>
      <c r="J953" s="30">
        <f t="shared" ref="J953" si="4752">E953-E952</f>
        <v>-140</v>
      </c>
      <c r="K953" s="62">
        <f t="shared" ref="K953" si="4753">(F953-F901)/F901</f>
        <v>-0.39954853273137697</v>
      </c>
      <c r="L953" s="48">
        <f t="shared" ref="L953" si="4754">AVERAGE(F797,F849,F901)</f>
        <v>845.66666666666663</v>
      </c>
    </row>
    <row r="954" spans="1:13" ht="14.25" x14ac:dyDescent="0.2">
      <c r="A954" s="21">
        <f t="shared" si="3661"/>
        <v>45269</v>
      </c>
      <c r="B954" s="3">
        <v>257</v>
      </c>
      <c r="C954" s="3">
        <v>22</v>
      </c>
      <c r="D954" s="3">
        <v>131</v>
      </c>
      <c r="E954" s="3">
        <f t="shared" ref="E954" si="4755">SUM(B954:D954)</f>
        <v>410</v>
      </c>
      <c r="F954" s="67">
        <v>684</v>
      </c>
      <c r="G954" s="3">
        <f t="shared" ref="G954" si="4756">F954-E954</f>
        <v>274</v>
      </c>
      <c r="H954" s="49">
        <f t="shared" ref="H954" si="4757">(F954-F953)/F953</f>
        <v>0.2857142857142857</v>
      </c>
      <c r="I954" s="58">
        <f t="shared" ref="I954" si="4758">(E954-E953)/E953</f>
        <v>-9.2920353982300891E-2</v>
      </c>
      <c r="J954" s="30">
        <f t="shared" ref="J954" si="4759">E954-E953</f>
        <v>-42</v>
      </c>
      <c r="K954" s="62">
        <f t="shared" ref="K954" si="4760">(F954-F902)/F902</f>
        <v>-4.8678720445062586E-2</v>
      </c>
      <c r="L954" s="48">
        <f t="shared" ref="L954" si="4761">AVERAGE(F798,F850,F902)</f>
        <v>828.66666666666663</v>
      </c>
    </row>
    <row r="955" spans="1:13" ht="14.25" x14ac:dyDescent="0.2">
      <c r="A955" s="21">
        <f t="shared" si="3661"/>
        <v>45276</v>
      </c>
      <c r="B955" s="3">
        <v>223</v>
      </c>
      <c r="C955" s="3">
        <v>16</v>
      </c>
      <c r="D955" s="3">
        <v>159</v>
      </c>
      <c r="E955" s="3">
        <f t="shared" ref="E955" si="4762">SUM(B955:D955)</f>
        <v>398</v>
      </c>
      <c r="F955" s="67">
        <v>858</v>
      </c>
      <c r="G955" s="3">
        <f t="shared" ref="G955" si="4763">F955-E955</f>
        <v>460</v>
      </c>
      <c r="H955" s="49">
        <f t="shared" ref="H955" si="4764">(F955-F954)/F954</f>
        <v>0.25438596491228072</v>
      </c>
      <c r="I955" s="58">
        <f t="shared" ref="I955" si="4765">(E955-E954)/E954</f>
        <v>-2.9268292682926831E-2</v>
      </c>
      <c r="J955" s="30">
        <f t="shared" ref="J955" si="4766">E955-E954</f>
        <v>-12</v>
      </c>
      <c r="K955" s="62">
        <f t="shared" ref="K955" si="4767">(F955-F903)/F903</f>
        <v>-0.13069908814589665</v>
      </c>
      <c r="L955" s="48">
        <f t="shared" ref="L955" si="4768">AVERAGE(F799,F851,F903)</f>
        <v>955.66666666666663</v>
      </c>
    </row>
    <row r="956" spans="1:13" ht="14.25" x14ac:dyDescent="0.2">
      <c r="A956" s="21">
        <f t="shared" si="3661"/>
        <v>45283</v>
      </c>
      <c r="B956" s="3">
        <v>190</v>
      </c>
      <c r="C956" s="3">
        <v>22</v>
      </c>
      <c r="D956" s="3">
        <v>104</v>
      </c>
      <c r="E956" s="3">
        <f t="shared" ref="E956" si="4769">SUM(B956:D956)</f>
        <v>316</v>
      </c>
      <c r="F956" s="67">
        <v>811</v>
      </c>
      <c r="G956" s="3">
        <f t="shared" ref="G956" si="4770">F956-E956</f>
        <v>495</v>
      </c>
      <c r="H956" s="49">
        <f t="shared" ref="H956" si="4771">(F956-F955)/F955</f>
        <v>-5.4778554778554776E-2</v>
      </c>
      <c r="I956" s="58">
        <f t="shared" ref="I956" si="4772">(E956-E955)/E955</f>
        <v>-0.20603015075376885</v>
      </c>
      <c r="J956" s="30">
        <f t="shared" ref="J956" si="4773">E956-E955</f>
        <v>-82</v>
      </c>
      <c r="K956" s="62">
        <f t="shared" ref="K956" si="4774">(F956-F904)/F904</f>
        <v>-8.0498866213151929E-2</v>
      </c>
      <c r="L956" s="48">
        <f t="shared" ref="L956" si="4775">AVERAGE(F800,F852,F904)</f>
        <v>885.66666666666663</v>
      </c>
      <c r="M956" s="29" t="s">
        <v>44</v>
      </c>
    </row>
    <row r="957" spans="1:13" ht="14.25" x14ac:dyDescent="0.2">
      <c r="A957" s="21">
        <f t="shared" si="3661"/>
        <v>45290</v>
      </c>
      <c r="B957" s="3">
        <v>120</v>
      </c>
      <c r="C957" s="3">
        <v>14</v>
      </c>
      <c r="D957" s="3">
        <v>131</v>
      </c>
      <c r="E957" s="3">
        <f t="shared" ref="E957" si="4776">SUM(B957:D957)</f>
        <v>265</v>
      </c>
      <c r="F957" s="67">
        <v>605</v>
      </c>
      <c r="G957" s="3">
        <f t="shared" ref="G957" si="4777">F957-E957</f>
        <v>340</v>
      </c>
      <c r="H957" s="49">
        <f t="shared" ref="H957" si="4778">(F957-F956)/F956</f>
        <v>-0.25400739827373614</v>
      </c>
      <c r="I957" s="58">
        <f t="shared" ref="I957" si="4779">(E957-E956)/E956</f>
        <v>-0.16139240506329114</v>
      </c>
      <c r="J957" s="30">
        <f t="shared" ref="J957" si="4780">E957-E956</f>
        <v>-51</v>
      </c>
      <c r="K957" s="62">
        <f t="shared" ref="K957" si="4781">(F957-F905)/F905</f>
        <v>-0.23125794155019061</v>
      </c>
      <c r="L957" s="48">
        <f t="shared" ref="L957" si="4782">AVERAGE(F801,F853,F905)</f>
        <v>889.66666666666663</v>
      </c>
    </row>
    <row r="958" spans="1:13" ht="14.25" x14ac:dyDescent="0.2">
      <c r="A958" s="21">
        <f t="shared" si="3661"/>
        <v>45297</v>
      </c>
      <c r="B958" s="3">
        <v>137</v>
      </c>
      <c r="C958" s="3">
        <v>11</v>
      </c>
      <c r="D958" s="3">
        <v>101</v>
      </c>
      <c r="E958" s="3">
        <f t="shared" ref="E958" si="4783">SUM(B958:D958)</f>
        <v>249</v>
      </c>
      <c r="F958" s="67">
        <v>839</v>
      </c>
      <c r="G958" s="3">
        <f t="shared" ref="G958" si="4784">F958-E958</f>
        <v>590</v>
      </c>
      <c r="H958" s="49">
        <f t="shared" ref="H958" si="4785">(F958-F957)/F957</f>
        <v>0.38677685950413221</v>
      </c>
      <c r="I958" s="58">
        <f t="shared" ref="I958" si="4786">(E958-E957)/E957</f>
        <v>-6.0377358490566038E-2</v>
      </c>
      <c r="J958" s="30">
        <f t="shared" ref="J958" si="4787">E958-E957</f>
        <v>-16</v>
      </c>
      <c r="K958" s="62">
        <f t="shared" ref="K958" si="4788">(F958-F906)/F906</f>
        <v>0.34239999999999998</v>
      </c>
      <c r="L958" s="48">
        <f t="shared" ref="L958" si="4789">AVERAGE(F802,F854,F906)</f>
        <v>838.33333333333337</v>
      </c>
    </row>
    <row r="959" spans="1:13" ht="14.25" x14ac:dyDescent="0.2">
      <c r="A959" s="21">
        <f t="shared" si="3661"/>
        <v>45304</v>
      </c>
      <c r="B959" s="3">
        <v>227</v>
      </c>
      <c r="C959" s="3">
        <v>11</v>
      </c>
      <c r="D959" s="3">
        <v>190</v>
      </c>
      <c r="E959" s="3">
        <f t="shared" ref="E959" si="4790">SUM(B959:D959)</f>
        <v>428</v>
      </c>
      <c r="F959" s="67">
        <v>778</v>
      </c>
      <c r="G959" s="3">
        <f t="shared" ref="G959" si="4791">F959-E959</f>
        <v>350</v>
      </c>
      <c r="H959" s="49">
        <f t="shared" ref="H959" si="4792">(F959-F958)/F958</f>
        <v>-7.270560190703218E-2</v>
      </c>
      <c r="I959" s="58">
        <f t="shared" ref="I959" si="4793">(E959-E958)/E958</f>
        <v>0.71887550200803207</v>
      </c>
      <c r="J959" s="30">
        <f t="shared" ref="J959" si="4794">E959-E958</f>
        <v>179</v>
      </c>
      <c r="K959" s="62">
        <f t="shared" ref="K959" si="4795">(F959-F907)/F907</f>
        <v>-0.10677382319173363</v>
      </c>
      <c r="L959" s="48">
        <f t="shared" ref="L959" si="4796">AVERAGE(F803,F855,F907)</f>
        <v>889.66666666666663</v>
      </c>
    </row>
    <row r="960" spans="1:13" ht="14.25" x14ac:dyDescent="0.2">
      <c r="A960" s="21">
        <f t="shared" si="3661"/>
        <v>45311</v>
      </c>
      <c r="B960" s="3">
        <v>84</v>
      </c>
      <c r="C960" s="3">
        <v>23</v>
      </c>
      <c r="D960" s="3">
        <v>117</v>
      </c>
      <c r="E960" s="3">
        <f t="shared" ref="E960" si="4797">SUM(B960:D960)</f>
        <v>224</v>
      </c>
      <c r="F960" s="67">
        <v>681</v>
      </c>
      <c r="G960" s="3">
        <f t="shared" ref="G960" si="4798">F960-E960</f>
        <v>457</v>
      </c>
      <c r="H960" s="49">
        <f t="shared" ref="H960" si="4799">(F960-F959)/F959</f>
        <v>-0.12467866323907455</v>
      </c>
      <c r="I960" s="58">
        <f t="shared" ref="I960" si="4800">(E960-E959)/E959</f>
        <v>-0.47663551401869159</v>
      </c>
      <c r="J960" s="30">
        <f t="shared" ref="J960" si="4801">E960-E959</f>
        <v>-204</v>
      </c>
      <c r="K960" s="62">
        <f t="shared" ref="K960" si="4802">(F960-F908)/F908</f>
        <v>1.0385756676557863E-2</v>
      </c>
      <c r="L960" s="48">
        <f t="shared" ref="L960" si="4803">AVERAGE(F804,F856,F908)</f>
        <v>823</v>
      </c>
    </row>
    <row r="961" spans="1:12" ht="14.25" x14ac:dyDescent="0.2">
      <c r="A961" s="21">
        <f t="shared" si="3661"/>
        <v>45318</v>
      </c>
      <c r="B961" s="3">
        <v>109</v>
      </c>
      <c r="C961" s="3">
        <v>17</v>
      </c>
      <c r="D961" s="3">
        <v>107</v>
      </c>
      <c r="E961" s="3">
        <f t="shared" ref="E961" si="4804">SUM(B961:D961)</f>
        <v>233</v>
      </c>
      <c r="F961" s="67">
        <v>473</v>
      </c>
      <c r="G961" s="3">
        <f t="shared" ref="G961" si="4805">F961-E961</f>
        <v>240</v>
      </c>
      <c r="H961" s="49">
        <f t="shared" ref="H961" si="4806">(F961-F960)/F960</f>
        <v>-0.3054331864904552</v>
      </c>
      <c r="I961" s="58">
        <f t="shared" ref="I961" si="4807">(E961-E960)/E960</f>
        <v>4.0178571428571432E-2</v>
      </c>
      <c r="J961" s="30">
        <f t="shared" ref="J961" si="4808">E961-E960</f>
        <v>9</v>
      </c>
      <c r="K961" s="62">
        <f t="shared" ref="K961" si="4809">(F961-F909)/F909</f>
        <v>-0.38967741935483868</v>
      </c>
      <c r="L961" s="48">
        <f t="shared" ref="L961" si="4810">AVERAGE(F805,F857,F909)</f>
        <v>803.66666666666663</v>
      </c>
    </row>
    <row r="962" spans="1:12" ht="14.25" x14ac:dyDescent="0.2">
      <c r="A962" s="21">
        <f t="shared" si="3661"/>
        <v>45325</v>
      </c>
      <c r="B962" s="3">
        <v>157</v>
      </c>
      <c r="C962" s="3">
        <v>22</v>
      </c>
      <c r="D962" s="3">
        <v>234</v>
      </c>
      <c r="E962" s="3">
        <f t="shared" ref="E962" si="4811">SUM(B962:D962)</f>
        <v>413</v>
      </c>
      <c r="F962" s="67">
        <v>773</v>
      </c>
      <c r="G962" s="3">
        <f t="shared" ref="G962" si="4812">F962-E962</f>
        <v>360</v>
      </c>
      <c r="H962" s="49">
        <f t="shared" ref="H962" si="4813">(F962-F961)/F961</f>
        <v>0.63424947145877375</v>
      </c>
      <c r="I962" s="58">
        <f t="shared" ref="I962" si="4814">(E962-E961)/E961</f>
        <v>0.77253218884120167</v>
      </c>
      <c r="J962" s="30">
        <f t="shared" ref="J962" si="4815">E962-E961</f>
        <v>180</v>
      </c>
      <c r="K962" s="62">
        <f t="shared" ref="K962" si="4816">(F962-F910)/F910</f>
        <v>0.10903873744619799</v>
      </c>
      <c r="L962" s="48">
        <f t="shared" ref="L962" si="4817">AVERAGE(F806,F858,F910)</f>
        <v>790.33333333333337</v>
      </c>
    </row>
    <row r="963" spans="1:12" ht="14.25" x14ac:dyDescent="0.2">
      <c r="A963" s="21">
        <f t="shared" si="3661"/>
        <v>45332</v>
      </c>
      <c r="B963" s="3">
        <v>125</v>
      </c>
      <c r="C963" s="3">
        <v>25</v>
      </c>
      <c r="D963" s="3">
        <v>237</v>
      </c>
      <c r="E963" s="3">
        <f t="shared" ref="E963" si="4818">SUM(B963:D963)</f>
        <v>387</v>
      </c>
      <c r="F963" s="67">
        <v>755</v>
      </c>
      <c r="G963" s="3">
        <f t="shared" ref="G963" si="4819">F963-E963</f>
        <v>368</v>
      </c>
      <c r="H963" s="49">
        <f t="shared" ref="H963" si="4820">(F963-F962)/F962</f>
        <v>-2.3285899094437259E-2</v>
      </c>
      <c r="I963" s="58">
        <f t="shared" ref="I963" si="4821">(E963-E962)/E962</f>
        <v>-6.2953995157384993E-2</v>
      </c>
      <c r="J963" s="30">
        <f t="shared" ref="J963" si="4822">E963-E962</f>
        <v>-26</v>
      </c>
      <c r="K963" s="62">
        <f t="shared" ref="K963" si="4823">(F963-F911)/F911</f>
        <v>-2.5806451612903226E-2</v>
      </c>
      <c r="L963" s="48">
        <f t="shared" ref="L963" si="4824">AVERAGE(F807,F859,F911)</f>
        <v>791.66666666666663</v>
      </c>
    </row>
    <row r="964" spans="1:12" ht="14.25" x14ac:dyDescent="0.2">
      <c r="A964" s="21">
        <f t="shared" si="3661"/>
        <v>45339</v>
      </c>
      <c r="B964" s="3">
        <v>130</v>
      </c>
      <c r="C964" s="3">
        <v>27</v>
      </c>
      <c r="D964" s="3">
        <v>228</v>
      </c>
      <c r="E964" s="3">
        <f t="shared" ref="E964" si="4825">SUM(B964:D964)</f>
        <v>385</v>
      </c>
      <c r="F964" s="67">
        <v>680</v>
      </c>
      <c r="G964" s="3">
        <f t="shared" ref="G964" si="4826">F964-E964</f>
        <v>295</v>
      </c>
      <c r="H964" s="49">
        <f t="shared" ref="H964" si="4827">(F964-F963)/F963</f>
        <v>-9.9337748344370855E-2</v>
      </c>
      <c r="I964" s="58">
        <f t="shared" ref="I964" si="4828">(E964-E963)/E963</f>
        <v>-5.1679586563307496E-3</v>
      </c>
      <c r="J964" s="30">
        <f t="shared" ref="J964" si="4829">E964-E963</f>
        <v>-2</v>
      </c>
      <c r="K964" s="62">
        <f t="shared" ref="K964" si="4830">(F964-F912)/F912</f>
        <v>-0.10052910052910052</v>
      </c>
      <c r="L964" s="48">
        <f t="shared" ref="L964" si="4831">AVERAGE(F808,F860,F912)</f>
        <v>723.66666666666663</v>
      </c>
    </row>
    <row r="965" spans="1:12" ht="14.25" x14ac:dyDescent="0.2">
      <c r="A965" s="21">
        <f t="shared" si="3661"/>
        <v>45346</v>
      </c>
      <c r="B965" s="3">
        <v>169</v>
      </c>
      <c r="C965" s="3">
        <v>23</v>
      </c>
      <c r="D965" s="3">
        <v>239</v>
      </c>
      <c r="E965" s="3">
        <f t="shared" ref="E965" si="4832">SUM(B965:D965)</f>
        <v>431</v>
      </c>
      <c r="F965" s="67">
        <v>767</v>
      </c>
      <c r="G965" s="3">
        <f t="shared" ref="G965" si="4833">F965-E965</f>
        <v>336</v>
      </c>
      <c r="H965" s="49">
        <f t="shared" ref="H965" si="4834">(F965-F964)/F964</f>
        <v>0.12794117647058822</v>
      </c>
      <c r="I965" s="58">
        <f t="shared" ref="I965" si="4835">(E965-E964)/E964</f>
        <v>0.11948051948051948</v>
      </c>
      <c r="J965" s="30">
        <f t="shared" ref="J965" si="4836">E965-E964</f>
        <v>46</v>
      </c>
      <c r="K965" s="62">
        <f t="shared" ref="K965" si="4837">(F965-F913)/F913</f>
        <v>0.6113445378151261</v>
      </c>
      <c r="L965" s="48">
        <f t="shared" ref="L965" si="4838">AVERAGE(F809,F861,F913)</f>
        <v>662.33333333333337</v>
      </c>
    </row>
    <row r="966" spans="1:12" ht="14.25" x14ac:dyDescent="0.2">
      <c r="A966" s="21">
        <f t="shared" si="3661"/>
        <v>45353</v>
      </c>
      <c r="B966" s="3">
        <v>115</v>
      </c>
      <c r="C966" s="3">
        <v>26</v>
      </c>
      <c r="D966" s="3">
        <v>136</v>
      </c>
      <c r="E966" s="3">
        <f t="shared" ref="E966" si="4839">SUM(B966:D966)</f>
        <v>277</v>
      </c>
      <c r="F966" s="67">
        <v>732</v>
      </c>
      <c r="G966" s="3">
        <f t="shared" ref="G966" si="4840">F966-E966</f>
        <v>455</v>
      </c>
      <c r="H966" s="49">
        <f t="shared" ref="H966" si="4841">(F966-F965)/F965</f>
        <v>-4.563233376792699E-2</v>
      </c>
      <c r="I966" s="58">
        <f t="shared" ref="I966" si="4842">(E966-E965)/E965</f>
        <v>-0.35730858468677495</v>
      </c>
      <c r="J966" s="30">
        <f t="shared" ref="J966" si="4843">E966-E965</f>
        <v>-154</v>
      </c>
      <c r="K966" s="62">
        <f t="shared" ref="K966" si="4844">(F966-F914)/F914</f>
        <v>-5.5483870967741933E-2</v>
      </c>
      <c r="L966" s="48">
        <f t="shared" ref="L966" si="4845">AVERAGE(F810,F862,F914)</f>
        <v>794</v>
      </c>
    </row>
    <row r="967" spans="1:12" ht="14.25" x14ac:dyDescent="0.2">
      <c r="A967" s="21">
        <f t="shared" si="3661"/>
        <v>45360</v>
      </c>
      <c r="B967" s="3">
        <v>147</v>
      </c>
      <c r="C967" s="3">
        <v>19</v>
      </c>
      <c r="D967" s="3">
        <v>207</v>
      </c>
      <c r="E967" s="3">
        <f t="shared" ref="E967" si="4846">SUM(B967:D967)</f>
        <v>373</v>
      </c>
      <c r="F967" s="67">
        <v>621</v>
      </c>
      <c r="G967" s="3">
        <f t="shared" ref="G967" si="4847">F967-E967</f>
        <v>248</v>
      </c>
      <c r="H967" s="49">
        <f t="shared" ref="H967" si="4848">(F967-F966)/F966</f>
        <v>-0.15163934426229508</v>
      </c>
      <c r="I967" s="58">
        <f t="shared" ref="I967" si="4849">(E967-E966)/E966</f>
        <v>0.34657039711191334</v>
      </c>
      <c r="J967" s="30">
        <f t="shared" ref="J967" si="4850">E967-E966</f>
        <v>96</v>
      </c>
      <c r="K967" s="62">
        <f t="shared" ref="K967" si="4851">(F967-F915)/F915</f>
        <v>-6.7567567567567571E-2</v>
      </c>
      <c r="L967" s="48">
        <f t="shared" ref="L967" si="4852">AVERAGE(F811,F863,F915)</f>
        <v>733</v>
      </c>
    </row>
    <row r="968" spans="1:12" ht="14.25" x14ac:dyDescent="0.2">
      <c r="A968" s="21">
        <f t="shared" si="3661"/>
        <v>45367</v>
      </c>
      <c r="B968" s="3">
        <v>122</v>
      </c>
      <c r="C968" s="3">
        <v>20</v>
      </c>
      <c r="D968" s="3">
        <v>168</v>
      </c>
      <c r="E968" s="3">
        <f t="shared" ref="E968" si="4853">SUM(B968:D968)</f>
        <v>310</v>
      </c>
      <c r="F968" s="67">
        <v>618</v>
      </c>
      <c r="G968" s="3">
        <f t="shared" ref="G968" si="4854">F968-E968</f>
        <v>308</v>
      </c>
      <c r="H968" s="49">
        <f t="shared" ref="H968" si="4855">(F968-F967)/F967</f>
        <v>-4.830917874396135E-3</v>
      </c>
      <c r="I968" s="58">
        <f t="shared" ref="I968" si="4856">(E968-E967)/E967</f>
        <v>-0.16890080428954424</v>
      </c>
      <c r="J968" s="30">
        <f t="shared" ref="J968" si="4857">E968-E967</f>
        <v>-63</v>
      </c>
      <c r="K968" s="62">
        <f t="shared" ref="K968" si="4858">(F968-F916)/F916</f>
        <v>-0.11587982832618025</v>
      </c>
      <c r="L968" s="48">
        <f t="shared" ref="L968" si="4859">AVERAGE(F812,F864,F916)</f>
        <v>701.66666666666663</v>
      </c>
    </row>
    <row r="969" spans="1:12" ht="14.25" x14ac:dyDescent="0.2">
      <c r="A969" s="21">
        <f t="shared" si="3661"/>
        <v>45374</v>
      </c>
      <c r="B969" s="3">
        <v>274</v>
      </c>
      <c r="C969" s="3">
        <v>24</v>
      </c>
      <c r="D969" s="3">
        <v>266</v>
      </c>
      <c r="E969" s="3">
        <f t="shared" ref="E969" si="4860">SUM(B969:D969)</f>
        <v>564</v>
      </c>
      <c r="F969" s="67">
        <v>649</v>
      </c>
      <c r="G969" s="3">
        <f t="shared" ref="G969" si="4861">F969-E969</f>
        <v>85</v>
      </c>
      <c r="H969" s="49">
        <f t="shared" ref="H969" si="4862">(F969-F968)/F968</f>
        <v>5.0161812297734629E-2</v>
      </c>
      <c r="I969" s="58">
        <f t="shared" ref="I969" si="4863">(E969-E968)/E968</f>
        <v>0.8193548387096774</v>
      </c>
      <c r="J969" s="30">
        <f t="shared" ref="J969" si="4864">E969-E968</f>
        <v>254</v>
      </c>
      <c r="K969" s="62">
        <f t="shared" ref="K969" si="4865">(F969-F917)/F917</f>
        <v>-1.0670731707317074E-2</v>
      </c>
      <c r="L969" s="48">
        <f t="shared" ref="L969" si="4866">AVERAGE(F813,F865,F917)</f>
        <v>677.66666666666663</v>
      </c>
    </row>
    <row r="970" spans="1:12" ht="14.25" x14ac:dyDescent="0.2">
      <c r="A970" s="21">
        <f t="shared" si="3661"/>
        <v>45381</v>
      </c>
      <c r="B970" s="3">
        <v>235</v>
      </c>
      <c r="C970" s="3">
        <v>32</v>
      </c>
      <c r="D970" s="3">
        <v>180</v>
      </c>
      <c r="E970" s="3">
        <f t="shared" ref="E970" si="4867">SUM(B970:D970)</f>
        <v>447</v>
      </c>
      <c r="F970" s="67">
        <v>607</v>
      </c>
      <c r="G970" s="3">
        <f t="shared" ref="G970" si="4868">F970-E970</f>
        <v>160</v>
      </c>
      <c r="H970" s="49">
        <f t="shared" ref="H970" si="4869">(F970-F969)/F969</f>
        <v>-6.4714946070878271E-2</v>
      </c>
      <c r="I970" s="58">
        <f t="shared" ref="I970" si="4870">(E970-E969)/E969</f>
        <v>-0.20744680851063829</v>
      </c>
      <c r="J970" s="30">
        <f t="shared" ref="J970" si="4871">E970-E969</f>
        <v>-117</v>
      </c>
      <c r="K970" s="62">
        <f t="shared" ref="K970" si="4872">(F970-F918)/F918</f>
        <v>-0.13532763532763534</v>
      </c>
      <c r="L970" s="48">
        <f t="shared" ref="L970" si="4873">AVERAGE(F814,F866,F918)</f>
        <v>704</v>
      </c>
    </row>
    <row r="971" spans="1:12" ht="14.25" x14ac:dyDescent="0.2">
      <c r="A971" s="21">
        <f t="shared" si="3661"/>
        <v>45388</v>
      </c>
      <c r="B971" s="3">
        <v>161</v>
      </c>
      <c r="C971" s="3">
        <v>4</v>
      </c>
      <c r="D971" s="3">
        <v>101</v>
      </c>
      <c r="E971" s="3">
        <f t="shared" ref="E971" si="4874">SUM(B971:D971)</f>
        <v>266</v>
      </c>
      <c r="F971" s="67">
        <v>575</v>
      </c>
      <c r="G971" s="3">
        <f t="shared" ref="G971" si="4875">F971-E971</f>
        <v>309</v>
      </c>
      <c r="H971" s="49">
        <f t="shared" ref="H971" si="4876">(F971-F970)/F970</f>
        <v>-5.2718286655683691E-2</v>
      </c>
      <c r="I971" s="58">
        <f t="shared" ref="I971" si="4877">(E971-E970)/E970</f>
        <v>-0.40492170022371365</v>
      </c>
      <c r="J971" s="30">
        <f t="shared" ref="J971" si="4878">E971-E970</f>
        <v>-181</v>
      </c>
      <c r="K971" s="62">
        <f t="shared" ref="K971" si="4879">(F971-F919)/F919</f>
        <v>-3.0354131534569982E-2</v>
      </c>
      <c r="L971" s="48">
        <f t="shared" ref="L971" si="4880">AVERAGE(F815,F867,F919)</f>
        <v>693</v>
      </c>
    </row>
    <row r="972" spans="1:12" ht="14.25" x14ac:dyDescent="0.2">
      <c r="A972" s="21">
        <f t="shared" si="3661"/>
        <v>45395</v>
      </c>
      <c r="B972" s="3">
        <v>187</v>
      </c>
      <c r="C972" s="3">
        <v>28</v>
      </c>
      <c r="D972" s="3">
        <v>123</v>
      </c>
      <c r="E972" s="3">
        <f t="shared" ref="E972" si="4881">SUM(B972:D972)</f>
        <v>338</v>
      </c>
      <c r="F972" s="67">
        <v>535</v>
      </c>
      <c r="G972" s="3">
        <f t="shared" ref="G972" si="4882">F972-E972</f>
        <v>197</v>
      </c>
      <c r="H972" s="49">
        <f t="shared" ref="H972" si="4883">(F972-F971)/F971</f>
        <v>-6.9565217391304349E-2</v>
      </c>
      <c r="I972" s="58">
        <f t="shared" ref="I972" si="4884">(E972-E971)/E971</f>
        <v>0.27067669172932329</v>
      </c>
      <c r="J972" s="30">
        <f t="shared" ref="J972" si="4885">E972-E971</f>
        <v>72</v>
      </c>
      <c r="K972" s="62">
        <f t="shared" ref="K972" si="4886">(F972-F920)/F920</f>
        <v>-0.23242467718794835</v>
      </c>
      <c r="L972" s="48">
        <f t="shared" ref="L972" si="4887">AVERAGE(F816,F868,F920)</f>
        <v>690</v>
      </c>
    </row>
    <row r="973" spans="1:12" ht="14.25" x14ac:dyDescent="0.2">
      <c r="A973" s="21">
        <f t="shared" si="3661"/>
        <v>45402</v>
      </c>
      <c r="B973" s="3">
        <v>179</v>
      </c>
      <c r="C973" s="3">
        <v>7</v>
      </c>
      <c r="D973" s="3">
        <v>128</v>
      </c>
      <c r="E973" s="3">
        <f t="shared" ref="E973" si="4888">SUM(B973:D973)</f>
        <v>314</v>
      </c>
      <c r="F973" s="67">
        <v>542</v>
      </c>
      <c r="G973" s="3">
        <f t="shared" ref="G973" si="4889">F973-E973</f>
        <v>228</v>
      </c>
      <c r="H973" s="49">
        <f t="shared" ref="H973" si="4890">(F973-F972)/F972</f>
        <v>1.3084112149532711E-2</v>
      </c>
      <c r="I973" s="58">
        <f t="shared" ref="I973" si="4891">(E973-E972)/E972</f>
        <v>-7.1005917159763315E-2</v>
      </c>
      <c r="J973" s="30">
        <f t="shared" ref="J973" si="4892">E973-E972</f>
        <v>-24</v>
      </c>
      <c r="K973" s="62">
        <f t="shared" ref="K973" si="4893">(F973-F921)/F921</f>
        <v>-0.14913657770800628</v>
      </c>
      <c r="L973" s="48">
        <f t="shared" ref="L973" si="4894">AVERAGE(F817,F869,F921)</f>
        <v>699.66666666666663</v>
      </c>
    </row>
    <row r="974" spans="1:12" ht="14.25" x14ac:dyDescent="0.2">
      <c r="A974" s="21">
        <f t="shared" si="3661"/>
        <v>45409</v>
      </c>
      <c r="B974" s="3">
        <v>198</v>
      </c>
      <c r="C974" s="3">
        <v>9</v>
      </c>
      <c r="D974" s="3">
        <v>101</v>
      </c>
      <c r="E974" s="3">
        <f t="shared" ref="E974" si="4895">SUM(B974:D974)</f>
        <v>308</v>
      </c>
      <c r="F974" s="67">
        <v>549</v>
      </c>
      <c r="G974" s="3">
        <f t="shared" ref="G974" si="4896">F974-E974</f>
        <v>241</v>
      </c>
      <c r="H974" s="49">
        <f t="shared" ref="H974" si="4897">(F974-F973)/F973</f>
        <v>1.2915129151291513E-2</v>
      </c>
      <c r="I974" s="58">
        <f t="shared" ref="I974" si="4898">(E974-E973)/E973</f>
        <v>-1.9108280254777069E-2</v>
      </c>
      <c r="J974" s="30">
        <f t="shared" ref="J974" si="4899">E974-E973</f>
        <v>-6</v>
      </c>
      <c r="K974" s="62">
        <f t="shared" ref="K974" si="4900">(F974-F922)/F922</f>
        <v>-0.11736334405144695</v>
      </c>
      <c r="L974" s="48">
        <f t="shared" ref="L974" si="4901">AVERAGE(F818,F870,F922)</f>
        <v>703.66666666666663</v>
      </c>
    </row>
    <row r="975" spans="1:12" ht="14.25" x14ac:dyDescent="0.2">
      <c r="A975" s="21">
        <f t="shared" si="3661"/>
        <v>45416</v>
      </c>
      <c r="B975" s="3">
        <v>174</v>
      </c>
      <c r="C975" s="3">
        <v>6</v>
      </c>
      <c r="D975" s="3">
        <v>89</v>
      </c>
      <c r="E975" s="3">
        <f t="shared" ref="E975" si="4902">SUM(B975:D975)</f>
        <v>269</v>
      </c>
      <c r="F975" s="67">
        <v>463</v>
      </c>
      <c r="G975" s="3">
        <f t="shared" ref="G975" si="4903">F975-E975</f>
        <v>194</v>
      </c>
      <c r="H975" s="49">
        <f t="shared" ref="H975" si="4904">(F975-F974)/F974</f>
        <v>-0.15664845173041894</v>
      </c>
      <c r="I975" s="58">
        <f t="shared" ref="I975" si="4905">(E975-E974)/E974</f>
        <v>-0.12662337662337661</v>
      </c>
      <c r="J975" s="30">
        <f t="shared" ref="J975" si="4906">E975-E974</f>
        <v>-39</v>
      </c>
      <c r="K975" s="62">
        <f t="shared" ref="K975" si="4907">(F975-F923)/F923</f>
        <v>0.18112244897959184</v>
      </c>
      <c r="L975" s="48">
        <f t="shared" ref="L975" si="4908">AVERAGE(F819,F871,F923)</f>
        <v>583.66666666666663</v>
      </c>
    </row>
    <row r="976" spans="1:12" ht="14.25" x14ac:dyDescent="0.2">
      <c r="A976" s="21">
        <f t="shared" si="3661"/>
        <v>45423</v>
      </c>
      <c r="B976" s="3">
        <v>171</v>
      </c>
      <c r="C976" s="3">
        <v>0</v>
      </c>
      <c r="D976" s="3">
        <v>155</v>
      </c>
      <c r="E976" s="3">
        <f t="shared" ref="E976" si="4909">SUM(B976:D976)</f>
        <v>326</v>
      </c>
      <c r="F976" s="67">
        <v>594</v>
      </c>
      <c r="G976" s="3">
        <f t="shared" ref="G976" si="4910">F976-E976</f>
        <v>268</v>
      </c>
      <c r="H976" s="49">
        <f t="shared" ref="H976" si="4911">(F976-F975)/F975</f>
        <v>0.28293736501079914</v>
      </c>
      <c r="I976" s="58">
        <f t="shared" ref="I976" si="4912">(E976-E975)/E975</f>
        <v>0.21189591078066913</v>
      </c>
      <c r="J976" s="30">
        <f t="shared" ref="J976" si="4913">E976-E975</f>
        <v>57</v>
      </c>
      <c r="K976" s="62">
        <f t="shared" ref="K976" si="4914">(F976-F924)/F924</f>
        <v>0.12713472485768501</v>
      </c>
      <c r="L976" s="48">
        <f t="shared" ref="L976" si="4915">AVERAGE(F820,F872,F924)</f>
        <v>671.33333333333337</v>
      </c>
    </row>
    <row r="977" spans="1:12" ht="14.25" x14ac:dyDescent="0.2">
      <c r="A977" s="21">
        <f t="shared" si="3661"/>
        <v>45430</v>
      </c>
      <c r="B977" s="3">
        <v>274</v>
      </c>
      <c r="C977" s="3">
        <v>0</v>
      </c>
      <c r="D977" s="3">
        <v>184</v>
      </c>
      <c r="E977" s="3">
        <f t="shared" ref="E977" si="4916">SUM(B977:D977)</f>
        <v>458</v>
      </c>
      <c r="F977" s="67">
        <v>276</v>
      </c>
      <c r="G977" s="3">
        <f t="shared" ref="G977" si="4917">F977-E977</f>
        <v>-182</v>
      </c>
      <c r="H977" s="49">
        <f t="shared" ref="H977" si="4918">(F977-F976)/F976</f>
        <v>-0.53535353535353536</v>
      </c>
      <c r="I977" s="58">
        <f t="shared" ref="I977" si="4919">(E977-E976)/E976</f>
        <v>0.40490797546012269</v>
      </c>
      <c r="J977" s="30">
        <f t="shared" ref="J977" si="4920">E977-E976</f>
        <v>132</v>
      </c>
      <c r="K977" s="62">
        <f t="shared" ref="K977" si="4921">(F977-F925)/F925</f>
        <v>-0.51493848857644986</v>
      </c>
      <c r="L977" s="48">
        <f t="shared" ref="L977" si="4922">AVERAGE(F821,F873,F925)</f>
        <v>685.66666666666663</v>
      </c>
    </row>
    <row r="978" spans="1:12" ht="14.25" x14ac:dyDescent="0.2">
      <c r="A978" s="21">
        <f t="shared" si="3661"/>
        <v>45437</v>
      </c>
      <c r="B978" s="3">
        <v>208</v>
      </c>
      <c r="C978" s="3">
        <v>20</v>
      </c>
      <c r="D978" s="3">
        <v>161</v>
      </c>
      <c r="E978" s="3">
        <f t="shared" ref="E978" si="4923">SUM(B978:D978)</f>
        <v>389</v>
      </c>
      <c r="F978" s="67">
        <v>479</v>
      </c>
      <c r="G978" s="3">
        <f t="shared" ref="G978" si="4924">F978-E978</f>
        <v>90</v>
      </c>
      <c r="H978" s="49">
        <f t="shared" ref="H978" si="4925">(F978-F977)/F977</f>
        <v>0.73550724637681164</v>
      </c>
      <c r="I978" s="58">
        <f t="shared" ref="I978" si="4926">(E978-E977)/E977</f>
        <v>-0.15065502183406113</v>
      </c>
      <c r="J978" s="30">
        <f t="shared" ref="J978" si="4927">E978-E977</f>
        <v>-69</v>
      </c>
      <c r="K978" s="62">
        <f t="shared" ref="K978" si="4928">(F978-F926)/F926</f>
        <v>-0.20299500831946754</v>
      </c>
      <c r="L978" s="48">
        <f t="shared" ref="L978" si="4929">AVERAGE(F822,F874,F926)</f>
        <v>617.66666666666663</v>
      </c>
    </row>
    <row r="979" spans="1:12" ht="14.25" x14ac:dyDescent="0.2">
      <c r="A979" s="21">
        <f t="shared" si="3661"/>
        <v>45444</v>
      </c>
      <c r="B979" s="3">
        <v>264</v>
      </c>
      <c r="C979" s="3">
        <v>11</v>
      </c>
      <c r="D979" s="3">
        <v>114</v>
      </c>
      <c r="E979" s="3">
        <f t="shared" ref="E979" si="4930">SUM(B979:D979)</f>
        <v>389</v>
      </c>
      <c r="F979" s="67">
        <v>564</v>
      </c>
      <c r="G979" s="3">
        <f t="shared" ref="G979" si="4931">F979-E979</f>
        <v>175</v>
      </c>
      <c r="H979" s="49">
        <f t="shared" ref="H979" si="4932">(F979-F978)/F978</f>
        <v>0.17745302713987474</v>
      </c>
      <c r="I979" s="58">
        <f t="shared" ref="I979" si="4933">(E979-E978)/E978</f>
        <v>0</v>
      </c>
      <c r="J979" s="30">
        <f t="shared" ref="J979" si="4934">E979-E978</f>
        <v>0</v>
      </c>
      <c r="K979" s="62">
        <f t="shared" ref="K979" si="4935">(F979-F927)/F927</f>
        <v>0.1440162271805274</v>
      </c>
      <c r="L979" s="48">
        <f t="shared" ref="L979" si="4936">AVERAGE(F823,F875,F927)</f>
        <v>552</v>
      </c>
    </row>
    <row r="980" spans="1:12" ht="14.25" x14ac:dyDescent="0.2">
      <c r="A980" s="21">
        <f t="shared" si="3661"/>
        <v>45451</v>
      </c>
      <c r="B980" s="3">
        <v>162</v>
      </c>
      <c r="C980" s="3">
        <v>1</v>
      </c>
      <c r="D980" s="3">
        <v>67</v>
      </c>
      <c r="E980" s="3">
        <f t="shared" ref="E980" si="4937">SUM(B980:D980)</f>
        <v>230</v>
      </c>
      <c r="F980" s="67">
        <v>498</v>
      </c>
      <c r="G980" s="3">
        <f t="shared" ref="G980" si="4938">F980-E980</f>
        <v>268</v>
      </c>
      <c r="H980" s="49">
        <f t="shared" ref="H980" si="4939">(F980-F979)/F979</f>
        <v>-0.11702127659574468</v>
      </c>
      <c r="I980" s="58">
        <f t="shared" ref="I980" si="4940">(E980-E979)/E979</f>
        <v>-0.40874035989717222</v>
      </c>
      <c r="J980" s="30">
        <f t="shared" ref="J980" si="4941">E980-E979</f>
        <v>-159</v>
      </c>
      <c r="K980" s="62">
        <f t="shared" ref="K980" si="4942">(F980-F928)/F928</f>
        <v>-1.5810276679841896E-2</v>
      </c>
      <c r="L980" s="48">
        <f t="shared" ref="L980" si="4943">AVERAGE(F824,F876,F928)</f>
        <v>642</v>
      </c>
    </row>
    <row r="981" spans="1:12" ht="14.25" x14ac:dyDescent="0.2">
      <c r="A981" s="21">
        <f t="shared" si="3661"/>
        <v>45458</v>
      </c>
      <c r="B981" s="3">
        <v>225</v>
      </c>
      <c r="C981" s="3">
        <v>10</v>
      </c>
      <c r="D981" s="3">
        <v>83</v>
      </c>
      <c r="E981" s="3">
        <f t="shared" ref="E981" si="4944">SUM(B981:D981)</f>
        <v>318</v>
      </c>
      <c r="F981" s="67">
        <v>597</v>
      </c>
      <c r="G981" s="3">
        <f t="shared" ref="G981" si="4945">F981-E981</f>
        <v>279</v>
      </c>
      <c r="H981" s="49">
        <f t="shared" ref="H981" si="4946">(F981-F980)/F980</f>
        <v>0.19879518072289157</v>
      </c>
      <c r="I981" s="58">
        <f t="shared" ref="I981" si="4947">(E981-E980)/E980</f>
        <v>0.38260869565217392</v>
      </c>
      <c r="J981" s="30">
        <f t="shared" ref="J981" si="4948">E981-E980</f>
        <v>88</v>
      </c>
      <c r="K981" s="62">
        <f t="shared" ref="K981" si="4949">(F981-F929)/F929</f>
        <v>0.30634573304157547</v>
      </c>
      <c r="L981" s="48">
        <f t="shared" ref="L981" si="4950">AVERAGE(F825,F877,F929)</f>
        <v>529</v>
      </c>
    </row>
    <row r="982" spans="1:12" ht="14.25" x14ac:dyDescent="0.2">
      <c r="A982" s="21">
        <f t="shared" si="3661"/>
        <v>45465</v>
      </c>
      <c r="B982" s="3">
        <v>169</v>
      </c>
      <c r="C982" s="3">
        <v>26</v>
      </c>
      <c r="D982" s="3">
        <v>125</v>
      </c>
      <c r="E982" s="3">
        <f t="shared" ref="E982" si="4951">SUM(B982:D982)</f>
        <v>320</v>
      </c>
      <c r="F982" s="67">
        <v>306</v>
      </c>
      <c r="G982" s="3">
        <f t="shared" ref="G982" si="4952">F982-E982</f>
        <v>-14</v>
      </c>
      <c r="H982" s="49">
        <f t="shared" ref="H982" si="4953">(F982-F981)/F981</f>
        <v>-0.48743718592964824</v>
      </c>
      <c r="I982" s="58">
        <f t="shared" ref="I982" si="4954">(E982-E981)/E981</f>
        <v>6.2893081761006293E-3</v>
      </c>
      <c r="J982" s="30">
        <f t="shared" ref="J982" si="4955">E982-E981</f>
        <v>2</v>
      </c>
      <c r="K982" s="62">
        <f t="shared" ref="K982" si="4956">(F982-F930)/F930</f>
        <v>-9.7087378640776691E-3</v>
      </c>
      <c r="L982" s="48">
        <f t="shared" ref="L982" si="4957">AVERAGE(F826,F878,F930)</f>
        <v>398.66666666666669</v>
      </c>
    </row>
    <row r="983" spans="1:12" ht="14.25" x14ac:dyDescent="0.2">
      <c r="A983" s="21">
        <f t="shared" si="3661"/>
        <v>45472</v>
      </c>
      <c r="B983" s="3">
        <v>248</v>
      </c>
      <c r="C983" s="3">
        <v>34</v>
      </c>
      <c r="D983" s="3">
        <v>81</v>
      </c>
      <c r="E983" s="3">
        <f t="shared" ref="E983" si="4958">SUM(B983:D983)</f>
        <v>363</v>
      </c>
      <c r="F983" s="67">
        <v>336</v>
      </c>
      <c r="G983" s="3">
        <f t="shared" ref="G983" si="4959">F983-E983</f>
        <v>-27</v>
      </c>
      <c r="H983" s="49">
        <f t="shared" ref="H983" si="4960">(F983-F982)/F982</f>
        <v>9.8039215686274508E-2</v>
      </c>
      <c r="I983" s="58">
        <f t="shared" ref="I983" si="4961">(E983-E982)/E982</f>
        <v>0.13437499999999999</v>
      </c>
      <c r="J983" s="30">
        <f t="shared" ref="J983" si="4962">E983-E982</f>
        <v>43</v>
      </c>
      <c r="K983" s="62">
        <f t="shared" ref="K983" si="4963">(F983-F931)/F931</f>
        <v>-0.22222222222222221</v>
      </c>
      <c r="L983" s="48">
        <f t="shared" ref="L983" si="4964">AVERAGE(F827,F879,F931)</f>
        <v>462.66666666666669</v>
      </c>
    </row>
    <row r="984" spans="1:12" ht="14.25" x14ac:dyDescent="0.2">
      <c r="A984" s="21">
        <f t="shared" si="3661"/>
        <v>45479</v>
      </c>
      <c r="B984" s="3">
        <v>187</v>
      </c>
      <c r="C984" s="3">
        <v>24</v>
      </c>
      <c r="D984" s="3">
        <v>64</v>
      </c>
      <c r="E984" s="3">
        <f t="shared" ref="E984" si="4965">SUM(B984:D984)</f>
        <v>275</v>
      </c>
      <c r="F984" s="67">
        <v>447</v>
      </c>
      <c r="G984" s="3">
        <f t="shared" ref="G984" si="4966">F984-E984</f>
        <v>172</v>
      </c>
      <c r="H984" s="49">
        <f t="shared" ref="H984" si="4967">(F984-F983)/F983</f>
        <v>0.33035714285714285</v>
      </c>
      <c r="I984" s="58">
        <f t="shared" ref="I984" si="4968">(E984-E983)/E983</f>
        <v>-0.24242424242424243</v>
      </c>
      <c r="J984" s="30">
        <f t="shared" ref="J984" si="4969">E984-E983</f>
        <v>-88</v>
      </c>
      <c r="K984" s="62">
        <f t="shared" ref="K984" si="4970">(F984-F932)/F932</f>
        <v>0.18882978723404256</v>
      </c>
      <c r="L984" s="48">
        <f t="shared" ref="L984" si="4971">AVERAGE(F828,F880,F932)</f>
        <v>497.66666666666669</v>
      </c>
    </row>
    <row r="985" spans="1:12" ht="14.25" x14ac:dyDescent="0.2">
      <c r="A985" s="21">
        <f t="shared" si="3661"/>
        <v>45486</v>
      </c>
      <c r="B985" s="3">
        <v>67</v>
      </c>
      <c r="C985" s="3">
        <v>14</v>
      </c>
      <c r="D985" s="3">
        <v>104</v>
      </c>
      <c r="E985" s="3">
        <f t="shared" ref="E985" si="4972">SUM(B985:D985)</f>
        <v>185</v>
      </c>
      <c r="F985" s="67">
        <v>513</v>
      </c>
      <c r="G985" s="3">
        <f t="shared" ref="G985" si="4973">F985-E985</f>
        <v>328</v>
      </c>
      <c r="H985" s="49">
        <f t="shared" ref="H985" si="4974">(F985-F984)/F984</f>
        <v>0.1476510067114094</v>
      </c>
      <c r="I985" s="58">
        <f t="shared" ref="I985" si="4975">(E985-E984)/E984</f>
        <v>-0.32727272727272727</v>
      </c>
      <c r="J985" s="30">
        <f t="shared" ref="J985" si="4976">E985-E984</f>
        <v>-90</v>
      </c>
      <c r="K985" s="62">
        <f t="shared" ref="K985" si="4977">(F985-F933)/F933</f>
        <v>0.49562682215743442</v>
      </c>
      <c r="L985" s="48">
        <f t="shared" ref="L985" si="4978">AVERAGE(F829,F881,F933)</f>
        <v>491.33333333333331</v>
      </c>
    </row>
    <row r="986" spans="1:12" ht="14.25" x14ac:dyDescent="0.2">
      <c r="A986" s="21">
        <f t="shared" si="3661"/>
        <v>45493</v>
      </c>
      <c r="B986" s="3">
        <v>83</v>
      </c>
      <c r="C986" s="3">
        <v>22</v>
      </c>
      <c r="D986" s="3">
        <v>120</v>
      </c>
      <c r="E986" s="3">
        <f t="shared" ref="E986" si="4979">SUM(B986:D986)</f>
        <v>225</v>
      </c>
      <c r="F986" s="67">
        <v>401</v>
      </c>
      <c r="G986" s="3">
        <f t="shared" ref="G986" si="4980">F986-E986</f>
        <v>176</v>
      </c>
      <c r="H986" s="49">
        <f t="shared" ref="H986" si="4981">(F986-F985)/F985</f>
        <v>-0.21832358674463936</v>
      </c>
      <c r="I986" s="58">
        <f t="shared" ref="I986" si="4982">(E986-E985)/E985</f>
        <v>0.21621621621621623</v>
      </c>
      <c r="J986" s="30">
        <f t="shared" ref="J986" si="4983">E986-E985</f>
        <v>40</v>
      </c>
      <c r="K986" s="62">
        <f t="shared" ref="K986" si="4984">(F986-F934)/F934</f>
        <v>-0.14680851063829786</v>
      </c>
      <c r="L986" s="48">
        <f t="shared" ref="L986" si="4985">AVERAGE(F830,F882,F934)</f>
        <v>560.33333333333337</v>
      </c>
    </row>
    <row r="987" spans="1:12" ht="14.25" x14ac:dyDescent="0.2">
      <c r="A987" s="21">
        <f t="shared" si="3661"/>
        <v>45500</v>
      </c>
      <c r="B987" s="3">
        <v>243</v>
      </c>
      <c r="C987" s="3">
        <v>18</v>
      </c>
      <c r="D987" s="3">
        <v>163</v>
      </c>
      <c r="E987" s="3">
        <f t="shared" ref="E987" si="4986">SUM(B987:D987)</f>
        <v>424</v>
      </c>
      <c r="F987" s="67">
        <v>472</v>
      </c>
      <c r="G987" s="3">
        <f t="shared" ref="G987" si="4987">F987-E987</f>
        <v>48</v>
      </c>
      <c r="H987" s="49">
        <f t="shared" ref="H987" si="4988">(F987-F986)/F986</f>
        <v>0.17705735660847879</v>
      </c>
      <c r="I987" s="58">
        <f t="shared" ref="I987" si="4989">(E987-E986)/E986</f>
        <v>0.88444444444444448</v>
      </c>
      <c r="J987" s="30">
        <f t="shared" ref="J987" si="4990">E987-E986</f>
        <v>199</v>
      </c>
      <c r="K987" s="62">
        <f t="shared" ref="K987" si="4991">(F987-F935)/F935</f>
        <v>5.3571428571428568E-2</v>
      </c>
      <c r="L987" s="48">
        <f t="shared" ref="L987" si="4992">AVERAGE(F831,F883,F935)</f>
        <v>616</v>
      </c>
    </row>
    <row r="988" spans="1:12" ht="14.25" x14ac:dyDescent="0.2">
      <c r="A988" s="21">
        <f t="shared" si="3661"/>
        <v>45507</v>
      </c>
      <c r="B988" s="3">
        <v>270</v>
      </c>
      <c r="C988" s="3">
        <v>14</v>
      </c>
      <c r="D988" s="3">
        <v>105</v>
      </c>
      <c r="E988" s="3">
        <f t="shared" ref="E988" si="4993">SUM(B988:D988)</f>
        <v>389</v>
      </c>
      <c r="F988" s="67">
        <v>593</v>
      </c>
      <c r="G988" s="3">
        <f t="shared" ref="G988" si="4994">F988-E988</f>
        <v>204</v>
      </c>
      <c r="H988" s="49">
        <f t="shared" ref="H988" si="4995">(F988-F987)/F987</f>
        <v>0.25635593220338981</v>
      </c>
      <c r="I988" s="58">
        <f t="shared" ref="I988" si="4996">(E988-E987)/E987</f>
        <v>-8.254716981132075E-2</v>
      </c>
      <c r="J988" s="30">
        <f t="shared" ref="J988" si="4997">E988-E987</f>
        <v>-35</v>
      </c>
      <c r="K988" s="62">
        <f t="shared" ref="K988" si="4998">(F988-F936)/F936</f>
        <v>0.19315895372233399</v>
      </c>
      <c r="L988" s="48">
        <f t="shared" ref="L988" si="4999">AVERAGE(F832,F884,F936)</f>
        <v>586</v>
      </c>
    </row>
    <row r="989" spans="1:12" ht="14.25" x14ac:dyDescent="0.2">
      <c r="A989" s="21">
        <f t="shared" si="3661"/>
        <v>45514</v>
      </c>
      <c r="B989" s="3">
        <v>362</v>
      </c>
      <c r="C989" s="3">
        <v>14</v>
      </c>
      <c r="D989" s="3">
        <v>125</v>
      </c>
      <c r="E989" s="3">
        <f t="shared" ref="E989" si="5000">SUM(B989:D989)</f>
        <v>501</v>
      </c>
      <c r="F989" s="67">
        <v>595</v>
      </c>
      <c r="G989" s="3">
        <f t="shared" ref="G989" si="5001">F989-E989</f>
        <v>94</v>
      </c>
      <c r="H989" s="49">
        <f t="shared" ref="H989" si="5002">(F989-F988)/F988</f>
        <v>3.3726812816188868E-3</v>
      </c>
      <c r="I989" s="58">
        <f t="shared" ref="I989" si="5003">(E989-E988)/E988</f>
        <v>0.2879177377892031</v>
      </c>
      <c r="J989" s="30">
        <f t="shared" ref="J989" si="5004">E989-E988</f>
        <v>112</v>
      </c>
      <c r="K989" s="62">
        <f t="shared" ref="K989" si="5005">(F989-F937)/F937</f>
        <v>0.39344262295081966</v>
      </c>
      <c r="L989" s="48">
        <f t="shared" ref="L989" si="5006">AVERAGE(F833,F885,F937)</f>
        <v>470.66666666666669</v>
      </c>
    </row>
    <row r="990" spans="1:12" ht="14.25" x14ac:dyDescent="0.2">
      <c r="A990" s="21">
        <f t="shared" si="3661"/>
        <v>45521</v>
      </c>
      <c r="B990" s="3">
        <v>287</v>
      </c>
      <c r="C990" s="3">
        <v>24</v>
      </c>
      <c r="D990" s="3">
        <v>139</v>
      </c>
      <c r="E990" s="3">
        <f t="shared" ref="E990" si="5007">SUM(B990:D990)</f>
        <v>450</v>
      </c>
      <c r="F990" s="67">
        <v>412</v>
      </c>
      <c r="G990" s="3">
        <f t="shared" ref="G990" si="5008">F990-E990</f>
        <v>-38</v>
      </c>
      <c r="H990" s="49">
        <f t="shared" ref="H990" si="5009">(F990-F989)/F989</f>
        <v>-0.30756302521008405</v>
      </c>
      <c r="I990" s="58">
        <f t="shared" ref="I990" si="5010">(E990-E989)/E989</f>
        <v>-0.10179640718562874</v>
      </c>
      <c r="J990" s="30">
        <f t="shared" ref="J990" si="5011">E990-E989</f>
        <v>-51</v>
      </c>
      <c r="K990" s="62">
        <f t="shared" ref="K990" si="5012">(F990-F938)/F938</f>
        <v>-2.3696682464454975E-2</v>
      </c>
      <c r="L990" s="48">
        <f t="shared" ref="L990" si="5013">AVERAGE(F834,F886,F938)</f>
        <v>519.33333333333337</v>
      </c>
    </row>
    <row r="991" spans="1:12" ht="14.25" x14ac:dyDescent="0.2">
      <c r="A991" s="21">
        <f t="shared" si="3661"/>
        <v>45528</v>
      </c>
      <c r="B991" s="3">
        <v>250</v>
      </c>
      <c r="C991" s="3">
        <v>24</v>
      </c>
      <c r="D991" s="3">
        <v>110</v>
      </c>
      <c r="E991" s="3">
        <f t="shared" ref="E991" si="5014">SUM(B991:D991)</f>
        <v>384</v>
      </c>
      <c r="F991" s="67">
        <v>518</v>
      </c>
      <c r="G991" s="3">
        <f t="shared" ref="G991" si="5015">F991-E991</f>
        <v>134</v>
      </c>
      <c r="H991" s="49">
        <f t="shared" ref="H991" si="5016">(F991-F990)/F990</f>
        <v>0.25728155339805825</v>
      </c>
      <c r="I991" s="58">
        <f t="shared" ref="I991" si="5017">(E991-E990)/E990</f>
        <v>-0.14666666666666667</v>
      </c>
      <c r="J991" s="30">
        <f t="shared" ref="J991" si="5018">E991-E990</f>
        <v>-66</v>
      </c>
      <c r="K991" s="62">
        <f t="shared" ref="K991" si="5019">(F991-F939)/F939</f>
        <v>0.30150753768844218</v>
      </c>
      <c r="L991" s="48" t="e">
        <f t="shared" ref="L991" si="5020">AVERAGE(F835,F887,F939)</f>
        <v>#N/A</v>
      </c>
    </row>
    <row r="992" spans="1:12" ht="14.25" x14ac:dyDescent="0.2">
      <c r="A992" s="21">
        <f t="shared" si="3661"/>
        <v>45535</v>
      </c>
      <c r="B992" s="3">
        <v>200</v>
      </c>
      <c r="C992" s="3">
        <v>14</v>
      </c>
      <c r="D992" s="3">
        <v>143</v>
      </c>
      <c r="E992" s="3">
        <f t="shared" ref="E992" si="5021">SUM(B992:D992)</f>
        <v>357</v>
      </c>
      <c r="F992" s="67">
        <v>579</v>
      </c>
      <c r="G992" s="3">
        <f t="shared" ref="G992" si="5022">F992-E992</f>
        <v>222</v>
      </c>
      <c r="H992" s="49">
        <f t="shared" ref="H992" si="5023">(F992-F991)/F991</f>
        <v>0.11776061776061776</v>
      </c>
      <c r="I992" s="58">
        <f t="shared" ref="I992" si="5024">(E992-E991)/E991</f>
        <v>-7.03125E-2</v>
      </c>
      <c r="J992" s="30">
        <f t="shared" ref="J992" si="5025">E992-E991</f>
        <v>-27</v>
      </c>
      <c r="K992" s="62">
        <f t="shared" ref="K992" si="5026">(F992-F940)/F940</f>
        <v>0.2725274725274725</v>
      </c>
      <c r="L992" s="48" t="e">
        <f t="shared" ref="L992" si="5027">AVERAGE(F836,F888,F940)</f>
        <v>#N/A</v>
      </c>
    </row>
    <row r="993" spans="1:12" ht="14.25" x14ac:dyDescent="0.2">
      <c r="A993" s="21">
        <f t="shared" si="3661"/>
        <v>45542</v>
      </c>
      <c r="B993" s="3">
        <v>188</v>
      </c>
      <c r="C993" s="3">
        <v>12</v>
      </c>
      <c r="D993" s="3">
        <v>66</v>
      </c>
      <c r="E993" s="3">
        <f t="shared" ref="E993" si="5028">SUM(B993:D993)</f>
        <v>266</v>
      </c>
      <c r="F993" s="67">
        <v>464</v>
      </c>
      <c r="G993" s="3">
        <f t="shared" ref="G993" si="5029">F993-E993</f>
        <v>198</v>
      </c>
      <c r="H993" s="49">
        <f t="shared" ref="H993" si="5030">(F993-F992)/F992</f>
        <v>-0.19861830742659758</v>
      </c>
      <c r="I993" s="58">
        <f t="shared" ref="I993" si="5031">(E993-E992)/E992</f>
        <v>-0.25490196078431371</v>
      </c>
      <c r="J993" s="30">
        <f t="shared" ref="J993" si="5032">E993-E992</f>
        <v>-91</v>
      </c>
      <c r="K993" s="62">
        <f t="shared" ref="K993" si="5033">(F993-F941)/F941</f>
        <v>-0.12121212121212122</v>
      </c>
      <c r="L993" s="48" t="e">
        <f t="shared" ref="L993" si="5034">AVERAGE(F837,F889,F941)</f>
        <v>#N/A</v>
      </c>
    </row>
    <row r="994" spans="1:12" ht="14.25" x14ac:dyDescent="0.2">
      <c r="A994" s="21">
        <f t="shared" si="3661"/>
        <v>45549</v>
      </c>
      <c r="B994" s="3">
        <v>100</v>
      </c>
      <c r="C994" s="3">
        <v>25</v>
      </c>
      <c r="D994" s="3">
        <v>110</v>
      </c>
      <c r="E994" s="3">
        <f t="shared" ref="E994" si="5035">SUM(B994:D994)</f>
        <v>235</v>
      </c>
      <c r="F994" s="67">
        <v>379</v>
      </c>
      <c r="G994" s="3">
        <f t="shared" ref="G994" si="5036">F994-E994</f>
        <v>144</v>
      </c>
      <c r="H994" s="49">
        <f t="shared" ref="H994" si="5037">(F994-F993)/F993</f>
        <v>-0.18318965517241378</v>
      </c>
      <c r="I994" s="58">
        <f t="shared" ref="I994" si="5038">(E994-E993)/E993</f>
        <v>-0.11654135338345864</v>
      </c>
      <c r="J994" s="30">
        <f t="shared" ref="J994" si="5039">E994-E993</f>
        <v>-31</v>
      </c>
      <c r="K994" s="62">
        <f t="shared" ref="K994" si="5040">(F994-F942)/F942</f>
        <v>-0.26550387596899228</v>
      </c>
      <c r="L994" s="48">
        <f t="shared" ref="L994" si="5041">AVERAGE(F838,F890,F942)</f>
        <v>451.66666666666669</v>
      </c>
    </row>
    <row r="995" spans="1:12" ht="14.25" x14ac:dyDescent="0.2">
      <c r="A995" s="21">
        <f t="shared" si="3661"/>
        <v>45556</v>
      </c>
      <c r="B995" s="3">
        <v>147</v>
      </c>
      <c r="C995" s="3">
        <v>18</v>
      </c>
      <c r="D995" s="3">
        <v>147</v>
      </c>
      <c r="E995" s="3">
        <f t="shared" ref="E995" si="5042">SUM(B995:D995)</f>
        <v>312</v>
      </c>
      <c r="F995" s="67">
        <v>712</v>
      </c>
      <c r="G995" s="3">
        <f t="shared" ref="G995" si="5043">F995-E995</f>
        <v>400</v>
      </c>
      <c r="H995" s="49">
        <f t="shared" ref="H995" si="5044">(F995-F994)/F994</f>
        <v>0.87862796833773082</v>
      </c>
      <c r="I995" s="58">
        <f t="shared" ref="I995" si="5045">(E995-E994)/E994</f>
        <v>0.32765957446808508</v>
      </c>
      <c r="J995" s="30">
        <f t="shared" ref="J995" si="5046">E995-E994</f>
        <v>77</v>
      </c>
      <c r="K995" s="62">
        <f t="shared" ref="K995" si="5047">(F995-F943)/F943</f>
        <v>0.23826086956521739</v>
      </c>
      <c r="L995" s="48">
        <f t="shared" ref="L995" si="5048">AVERAGE(F839,F891,F943)</f>
        <v>485</v>
      </c>
    </row>
    <row r="996" spans="1:12" ht="14.25" x14ac:dyDescent="0.2">
      <c r="A996" s="21">
        <f t="shared" si="3661"/>
        <v>45563</v>
      </c>
      <c r="B996" s="3">
        <v>103</v>
      </c>
      <c r="C996" s="3">
        <v>23</v>
      </c>
      <c r="D996" s="3">
        <v>114</v>
      </c>
      <c r="E996" s="3">
        <f t="shared" ref="E996" si="5049">SUM(B996:D996)</f>
        <v>240</v>
      </c>
      <c r="F996" s="67">
        <v>846</v>
      </c>
      <c r="G996" s="3">
        <f t="shared" ref="G996" si="5050">F996-E996</f>
        <v>606</v>
      </c>
      <c r="H996" s="49">
        <f t="shared" ref="H996" si="5051">(F996-F995)/F995</f>
        <v>0.18820224719101122</v>
      </c>
      <c r="I996" s="58">
        <f t="shared" ref="I996" si="5052">(E996-E995)/E995</f>
        <v>-0.23076923076923078</v>
      </c>
      <c r="J996" s="30">
        <f t="shared" ref="J996" si="5053">E996-E995</f>
        <v>-72</v>
      </c>
      <c r="K996" s="62">
        <f t="shared" ref="K996" si="5054">(F996-F944)/F944</f>
        <v>0.17827298050139276</v>
      </c>
      <c r="L996" s="48">
        <f t="shared" ref="L996" si="5055">AVERAGE(F840,F892,F944)</f>
        <v>643.66666666666663</v>
      </c>
    </row>
    <row r="997" spans="1:12" ht="14.25" x14ac:dyDescent="0.2">
      <c r="A997" s="21">
        <f t="shared" si="3661"/>
        <v>45570</v>
      </c>
      <c r="B997" s="3">
        <v>139</v>
      </c>
      <c r="C997" s="3">
        <v>23</v>
      </c>
      <c r="D997" s="3">
        <v>84</v>
      </c>
      <c r="E997" s="3">
        <f t="shared" ref="E997" si="5056">SUM(B997:D997)</f>
        <v>246</v>
      </c>
      <c r="F997" s="67">
        <v>759</v>
      </c>
      <c r="G997" s="3">
        <f t="shared" ref="G997" si="5057">F997-E997</f>
        <v>513</v>
      </c>
      <c r="H997" s="49">
        <f t="shared" ref="H997" si="5058">(F997-F996)/F996</f>
        <v>-0.10283687943262411</v>
      </c>
      <c r="I997" s="58">
        <f t="shared" ref="I997" si="5059">(E997-E996)/E996</f>
        <v>2.5000000000000001E-2</v>
      </c>
      <c r="J997" s="30">
        <f t="shared" ref="J997" si="5060">E997-E996</f>
        <v>6</v>
      </c>
      <c r="K997" s="62">
        <f t="shared" ref="K997" si="5061">(F997-F945)/F945</f>
        <v>-0.16776315789473684</v>
      </c>
      <c r="L997" s="48">
        <f t="shared" ref="L997" si="5062">AVERAGE(F841,F893,F945)</f>
        <v>710.33333333333337</v>
      </c>
    </row>
    <row r="998" spans="1:12" ht="14.25" x14ac:dyDescent="0.2">
      <c r="A998" s="21">
        <f t="shared" si="3661"/>
        <v>45577</v>
      </c>
      <c r="B998" s="3">
        <v>223</v>
      </c>
      <c r="C998" s="3">
        <v>27</v>
      </c>
      <c r="D998" s="3">
        <v>106</v>
      </c>
      <c r="E998" s="3">
        <f t="shared" ref="E998" si="5063">SUM(B998:D998)</f>
        <v>356</v>
      </c>
      <c r="F998" s="67">
        <v>851</v>
      </c>
      <c r="G998" s="3">
        <f t="shared" ref="G998" si="5064">F998-E998</f>
        <v>495</v>
      </c>
      <c r="H998" s="49">
        <f t="shared" ref="H998" si="5065">(F998-F997)/F997</f>
        <v>0.12121212121212122</v>
      </c>
      <c r="I998" s="58">
        <f t="shared" ref="I998" si="5066">(E998-E997)/E997</f>
        <v>0.44715447154471544</v>
      </c>
      <c r="J998" s="30">
        <f t="shared" ref="J998" si="5067">E998-E997</f>
        <v>110</v>
      </c>
      <c r="K998" s="62">
        <f t="shared" ref="K998" si="5068">(F998-F946)/F946</f>
        <v>-1.845444059976932E-2</v>
      </c>
      <c r="L998" s="48">
        <f t="shared" ref="L998" si="5069">AVERAGE(F842,F894,F946)</f>
        <v>784.66666666666663</v>
      </c>
    </row>
    <row r="999" spans="1:12" ht="14.25" x14ac:dyDescent="0.2">
      <c r="A999" s="21">
        <f t="shared" si="3661"/>
        <v>45584</v>
      </c>
      <c r="B999" s="3">
        <v>194</v>
      </c>
      <c r="C999" s="3">
        <v>14</v>
      </c>
      <c r="D999" s="3">
        <v>135</v>
      </c>
      <c r="E999" s="3">
        <f t="shared" ref="E999" si="5070">SUM(B999:D999)</f>
        <v>343</v>
      </c>
      <c r="F999" s="67">
        <v>932</v>
      </c>
      <c r="G999" s="3">
        <f t="shared" ref="G999" si="5071">F999-E999</f>
        <v>589</v>
      </c>
      <c r="H999" s="49">
        <f t="shared" ref="H999" si="5072">(F999-F998)/F998</f>
        <v>9.5182138660399526E-2</v>
      </c>
      <c r="I999" s="58">
        <f t="shared" ref="I999" si="5073">(E999-E998)/E998</f>
        <v>-3.6516853932584269E-2</v>
      </c>
      <c r="J999" s="30">
        <f t="shared" ref="J999" si="5074">E999-E998</f>
        <v>-13</v>
      </c>
      <c r="K999" s="62">
        <f t="shared" ref="K999" si="5075">(F999-F947)/F947</f>
        <v>0.24266666666666667</v>
      </c>
      <c r="L999" s="48">
        <f t="shared" ref="L999" si="5076">AVERAGE(F843,F895,F947)</f>
        <v>787.66666666666663</v>
      </c>
    </row>
    <row r="1000" spans="1:12" ht="14.25" x14ac:dyDescent="0.2">
      <c r="A1000" s="21">
        <f t="shared" si="3661"/>
        <v>45591</v>
      </c>
      <c r="B1000" s="3">
        <v>261</v>
      </c>
      <c r="C1000" s="3">
        <v>33</v>
      </c>
      <c r="D1000" s="3">
        <v>134</v>
      </c>
      <c r="E1000" s="3">
        <f t="shared" ref="E1000" si="5077">SUM(B1000:D1000)</f>
        <v>428</v>
      </c>
      <c r="F1000" s="67">
        <v>911</v>
      </c>
      <c r="G1000" s="3">
        <f t="shared" ref="G1000" si="5078">F1000-E1000</f>
        <v>483</v>
      </c>
      <c r="H1000" s="49">
        <f t="shared" ref="H1000" si="5079">(F1000-F999)/F999</f>
        <v>-2.2532188841201718E-2</v>
      </c>
      <c r="I1000" s="58">
        <f t="shared" ref="I1000" si="5080">(E1000-E999)/E999</f>
        <v>0.24781341107871721</v>
      </c>
      <c r="J1000" s="30">
        <f t="shared" ref="J1000" si="5081">E1000-E999</f>
        <v>85</v>
      </c>
      <c r="K1000" s="62">
        <f t="shared" ref="K1000" si="5082">(F1000-F948)/F948</f>
        <v>0.36581709145427288</v>
      </c>
      <c r="L1000" s="48">
        <f t="shared" ref="L1000" si="5083">AVERAGE(F844,F896,F948)</f>
        <v>686.33333333333337</v>
      </c>
    </row>
    <row r="1001" spans="1:12" ht="14.25" x14ac:dyDescent="0.2">
      <c r="A1001" s="21">
        <f t="shared" si="3661"/>
        <v>45598</v>
      </c>
      <c r="B1001" s="3">
        <v>320</v>
      </c>
      <c r="C1001" s="3">
        <v>29</v>
      </c>
      <c r="D1001" s="3">
        <v>165</v>
      </c>
      <c r="E1001" s="3">
        <f t="shared" ref="E1001" si="5084">SUM(B1001:D1001)</f>
        <v>514</v>
      </c>
      <c r="F1001" s="67">
        <v>806</v>
      </c>
      <c r="G1001" s="3">
        <f t="shared" ref="G1001" si="5085">F1001-E1001</f>
        <v>292</v>
      </c>
      <c r="H1001" s="49">
        <f t="shared" ref="H1001" si="5086">(F1001-F1000)/F1000</f>
        <v>-0.11525795828759605</v>
      </c>
      <c r="I1001" s="58">
        <f t="shared" ref="I1001" si="5087">(E1001-E1000)/E1000</f>
        <v>0.20093457943925233</v>
      </c>
      <c r="J1001" s="30">
        <f t="shared" ref="J1001" si="5088">E1001-E1000</f>
        <v>86</v>
      </c>
      <c r="K1001" s="62">
        <f t="shared" ref="K1001" si="5089">(F1001-F949)/F949</f>
        <v>7.1808510638297879E-2</v>
      </c>
      <c r="L1001" s="48">
        <f t="shared" ref="L1001" si="5090">AVERAGE(F845,F897,F949)</f>
        <v>749</v>
      </c>
    </row>
    <row r="1002" spans="1:12" ht="14.25" x14ac:dyDescent="0.2">
      <c r="A1002" s="21">
        <f t="shared" si="3661"/>
        <v>45605</v>
      </c>
      <c r="B1002" s="3">
        <v>312</v>
      </c>
      <c r="C1002" s="3">
        <v>18</v>
      </c>
      <c r="D1002" s="3">
        <v>169</v>
      </c>
      <c r="E1002" s="3">
        <f t="shared" ref="E1002" si="5091">SUM(B1002:D1002)</f>
        <v>499</v>
      </c>
      <c r="F1002" s="67">
        <v>981</v>
      </c>
      <c r="G1002" s="3">
        <f t="shared" ref="G1002" si="5092">F1002-E1002</f>
        <v>482</v>
      </c>
      <c r="H1002" s="49">
        <f t="shared" ref="H1002" si="5093">(F1002-F1001)/F1001</f>
        <v>0.21712158808933002</v>
      </c>
      <c r="I1002" s="58">
        <f t="shared" ref="I1002" si="5094">(E1002-E1001)/E1001</f>
        <v>-2.9182879377431907E-2</v>
      </c>
      <c r="J1002" s="30">
        <f t="shared" ref="J1002" si="5095">E1002-E1001</f>
        <v>-15</v>
      </c>
      <c r="K1002" s="62">
        <f t="shared" ref="K1002" si="5096">(F1002-F950)/F950</f>
        <v>0.3512396694214876</v>
      </c>
      <c r="L1002" s="48">
        <f t="shared" ref="L1002" si="5097">AVERAGE(F846,F898,F950)</f>
        <v>821.33333333333337</v>
      </c>
    </row>
    <row r="1003" spans="1:12" ht="14.25" x14ac:dyDescent="0.2">
      <c r="A1003" s="21">
        <f t="shared" si="3661"/>
        <v>45612</v>
      </c>
      <c r="B1003" s="3">
        <v>328</v>
      </c>
      <c r="C1003" s="3">
        <v>42</v>
      </c>
      <c r="D1003" s="3">
        <v>171</v>
      </c>
      <c r="E1003" s="3">
        <f t="shared" ref="E1003" si="5098">SUM(B1003:D1003)</f>
        <v>541</v>
      </c>
      <c r="F1003" s="67">
        <v>933</v>
      </c>
      <c r="G1003" s="3">
        <f t="shared" ref="G1003" si="5099">F1003-E1003</f>
        <v>392</v>
      </c>
      <c r="H1003" s="49">
        <f t="shared" ref="H1003" si="5100">(F1003-F1002)/F1002</f>
        <v>-4.8929663608562692E-2</v>
      </c>
      <c r="I1003" s="58">
        <f t="shared" ref="I1003" si="5101">(E1003-E1002)/E1002</f>
        <v>8.4168336673346694E-2</v>
      </c>
      <c r="J1003" s="30">
        <f t="shared" ref="J1003" si="5102">E1003-E1002</f>
        <v>42</v>
      </c>
      <c r="K1003" s="62">
        <f t="shared" ref="K1003" si="5103">(F1003-F951)/F951</f>
        <v>0.3103932584269663</v>
      </c>
      <c r="L1003" s="48">
        <f t="shared" ref="L1003" si="5104">AVERAGE(F847,F899,F951)</f>
        <v>809.66666666666663</v>
      </c>
    </row>
    <row r="1004" spans="1:12" ht="14.25" x14ac:dyDescent="0.2">
      <c r="A1004" s="21">
        <f t="shared" si="3661"/>
        <v>45619</v>
      </c>
      <c r="B1004" s="3">
        <v>430</v>
      </c>
      <c r="C1004" s="3">
        <v>28</v>
      </c>
      <c r="D1004" s="3">
        <v>112</v>
      </c>
      <c r="E1004" s="3">
        <f t="shared" ref="E1004" si="5105">SUM(B1004:D1004)</f>
        <v>570</v>
      </c>
      <c r="F1004" s="67">
        <v>998</v>
      </c>
      <c r="G1004" s="3">
        <f t="shared" ref="G1004" si="5106">F1004-E1004</f>
        <v>428</v>
      </c>
      <c r="H1004" s="49">
        <f t="shared" ref="H1004" si="5107">(F1004-F1003)/F1003</f>
        <v>6.966773847802786E-2</v>
      </c>
      <c r="I1004" s="58">
        <f t="shared" ref="I1004" si="5108">(E1004-E1003)/E1003</f>
        <v>5.3604436229205174E-2</v>
      </c>
      <c r="J1004" s="30">
        <f t="shared" ref="J1004" si="5109">E1004-E1003</f>
        <v>29</v>
      </c>
      <c r="K1004" s="62">
        <f t="shared" ref="K1004" si="5110">(F1004-F952)/F952</f>
        <v>0.5569422776911076</v>
      </c>
      <c r="L1004" s="48">
        <f t="shared" ref="L1004" si="5111">AVERAGE(F848,F900,F952)</f>
        <v>760</v>
      </c>
    </row>
    <row r="1005" spans="1:12" ht="14.25" x14ac:dyDescent="0.2">
      <c r="A1005" s="21">
        <f t="shared" si="3661"/>
        <v>45626</v>
      </c>
      <c r="B1005" s="3">
        <v>356</v>
      </c>
      <c r="C1005" s="3">
        <v>32</v>
      </c>
      <c r="D1005" s="3">
        <v>168</v>
      </c>
      <c r="E1005" s="3">
        <f t="shared" ref="E1005" si="5112">SUM(B1005:D1005)</f>
        <v>556</v>
      </c>
      <c r="F1005" s="67">
        <v>983</v>
      </c>
      <c r="G1005" s="3">
        <f t="shared" ref="G1005" si="5113">F1005-E1005</f>
        <v>427</v>
      </c>
      <c r="H1005" s="49">
        <f t="shared" ref="H1005" si="5114">(F1005-F1004)/F1004</f>
        <v>-1.503006012024048E-2</v>
      </c>
      <c r="I1005" s="58">
        <f t="shared" ref="I1005" si="5115">(E1005-E1004)/E1004</f>
        <v>-2.456140350877193E-2</v>
      </c>
      <c r="J1005" s="30">
        <f t="shared" ref="J1005" si="5116">E1005-E1004</f>
        <v>-14</v>
      </c>
      <c r="K1005" s="62">
        <f t="shared" ref="K1005" si="5117">(F1005-F953)/F953</f>
        <v>0.84774436090225569</v>
      </c>
      <c r="L1005" s="48">
        <f t="shared" ref="L1005" si="5118">AVERAGE(F849,F901,F953)</f>
        <v>722.33333333333337</v>
      </c>
    </row>
    <row r="1006" spans="1:12" ht="14.25" x14ac:dyDescent="0.2">
      <c r="A1006" s="21">
        <f t="shared" si="3661"/>
        <v>45633</v>
      </c>
      <c r="B1006" s="3">
        <v>341</v>
      </c>
      <c r="C1006" s="3">
        <v>15</v>
      </c>
      <c r="D1006" s="3">
        <v>137</v>
      </c>
      <c r="E1006" s="3">
        <f t="shared" ref="E1006" si="5119">SUM(B1006:D1006)</f>
        <v>493</v>
      </c>
      <c r="F1006" s="67">
        <v>868</v>
      </c>
      <c r="G1006" s="3">
        <f t="shared" ref="G1006" si="5120">F1006-E1006</f>
        <v>375</v>
      </c>
      <c r="H1006" s="49">
        <f t="shared" ref="H1006" si="5121">(F1006-F1005)/F1005</f>
        <v>-0.11698880976602238</v>
      </c>
      <c r="I1006" s="58">
        <f t="shared" ref="I1006" si="5122">(E1006-E1005)/E1005</f>
        <v>-0.11330935251798561</v>
      </c>
      <c r="J1006" s="30">
        <f t="shared" ref="J1006" si="5123">E1006-E1005</f>
        <v>-63</v>
      </c>
      <c r="K1006" s="62">
        <f t="shared" ref="K1006" si="5124">(F1006-F954)/F954</f>
        <v>0.26900584795321636</v>
      </c>
      <c r="L1006" s="48">
        <f t="shared" ref="L1006" si="5125">AVERAGE(F850,F902,F954)</f>
        <v>716</v>
      </c>
    </row>
    <row r="1007" spans="1:12" ht="14.25" x14ac:dyDescent="0.2">
      <c r="A1007" s="21">
        <f t="shared" si="3661"/>
        <v>45640</v>
      </c>
      <c r="B1007" s="3">
        <v>382</v>
      </c>
      <c r="C1007" s="3">
        <v>22</v>
      </c>
      <c r="D1007" s="3">
        <v>215</v>
      </c>
      <c r="E1007" s="3">
        <f t="shared" ref="E1007" si="5126">SUM(B1007:D1007)</f>
        <v>619</v>
      </c>
      <c r="F1007" s="67">
        <v>878</v>
      </c>
      <c r="G1007" s="3">
        <f t="shared" ref="G1007" si="5127">F1007-E1007</f>
        <v>259</v>
      </c>
      <c r="H1007" s="49">
        <f t="shared" ref="H1007" si="5128">(F1007-F1006)/F1006</f>
        <v>1.1520737327188941E-2</v>
      </c>
      <c r="I1007" s="58">
        <f t="shared" ref="I1007" si="5129">(E1007-E1006)/E1006</f>
        <v>0.25557809330628806</v>
      </c>
      <c r="J1007" s="30">
        <f t="shared" ref="J1007" si="5130">E1007-E1006</f>
        <v>126</v>
      </c>
      <c r="K1007" s="62">
        <f t="shared" ref="K1007" si="5131">(F1007-F955)/F955</f>
        <v>2.3310023310023312E-2</v>
      </c>
      <c r="L1007" s="48">
        <f t="shared" ref="L1007" si="5132">AVERAGE(F851,F903,F955)</f>
        <v>877.66666666666663</v>
      </c>
    </row>
    <row r="1008" spans="1:12" ht="14.25" x14ac:dyDescent="0.2">
      <c r="A1008" s="21">
        <f t="shared" si="3661"/>
        <v>45647</v>
      </c>
      <c r="B1008" s="3">
        <v>321</v>
      </c>
      <c r="C1008" s="3">
        <v>18</v>
      </c>
      <c r="D1008" s="3">
        <v>208</v>
      </c>
      <c r="E1008" s="3">
        <f t="shared" ref="E1008" si="5133">SUM(B1008:D1008)</f>
        <v>547</v>
      </c>
      <c r="F1008" s="67">
        <v>877</v>
      </c>
      <c r="G1008" s="3">
        <f t="shared" ref="G1008" si="5134">F1008-E1008</f>
        <v>330</v>
      </c>
      <c r="H1008" s="49">
        <f t="shared" ref="H1008" si="5135">(F1008-F1007)/F1007</f>
        <v>-1.1389521640091116E-3</v>
      </c>
      <c r="I1008" s="58">
        <f t="shared" ref="I1008" si="5136">(E1008-E1007)/E1007</f>
        <v>-0.11631663974151858</v>
      </c>
      <c r="J1008" s="30">
        <f t="shared" ref="J1008" si="5137">E1008-E1007</f>
        <v>-72</v>
      </c>
      <c r="K1008" s="62">
        <f t="shared" ref="K1008" si="5138">(F1008-F956)/F956</f>
        <v>8.138101109741061E-2</v>
      </c>
      <c r="L1008" s="48">
        <f t="shared" ref="L1008" si="5139">AVERAGE(F852,F904,F956)</f>
        <v>849.66666666666663</v>
      </c>
    </row>
    <row r="1009" spans="1:13" ht="14.25" x14ac:dyDescent="0.2">
      <c r="A1009" s="21">
        <f t="shared" si="3661"/>
        <v>45654</v>
      </c>
      <c r="B1009" s="3">
        <v>446</v>
      </c>
      <c r="C1009" s="3">
        <v>26</v>
      </c>
      <c r="D1009" s="3">
        <v>159</v>
      </c>
      <c r="E1009" s="3">
        <f t="shared" ref="E1009" si="5140">SUM(B1009:D1009)</f>
        <v>631</v>
      </c>
      <c r="F1009" s="67">
        <v>720</v>
      </c>
      <c r="G1009" s="3">
        <f t="shared" ref="G1009" si="5141">F1009-E1009</f>
        <v>89</v>
      </c>
      <c r="H1009" s="49">
        <f t="shared" ref="H1009" si="5142">(F1009-F1008)/F1008</f>
        <v>-0.1790193842645382</v>
      </c>
      <c r="I1009" s="58">
        <f t="shared" ref="I1009" si="5143">(E1009-E1008)/E1008</f>
        <v>0.15356489945155394</v>
      </c>
      <c r="J1009" s="30">
        <f t="shared" ref="J1009" si="5144">E1009-E1008</f>
        <v>84</v>
      </c>
      <c r="K1009" s="62">
        <f t="shared" ref="K1009" si="5145">(F1009-F957)/F957</f>
        <v>0.19008264462809918</v>
      </c>
      <c r="L1009" s="48">
        <f t="shared" ref="L1009" si="5146">AVERAGE(F853,F905,F957)</f>
        <v>741.66666666666663</v>
      </c>
    </row>
    <row r="1010" spans="1:13" ht="14.25" x14ac:dyDescent="0.2">
      <c r="A1010" s="21">
        <f t="shared" si="3661"/>
        <v>45661</v>
      </c>
      <c r="B1010" s="3">
        <v>279</v>
      </c>
      <c r="C1010" s="3">
        <v>10</v>
      </c>
      <c r="D1010" s="3">
        <v>156</v>
      </c>
      <c r="E1010" s="3">
        <f t="shared" ref="E1010" si="5147">SUM(B1010:D1010)</f>
        <v>445</v>
      </c>
      <c r="F1010" s="67">
        <v>919</v>
      </c>
      <c r="G1010" s="3">
        <f t="shared" ref="G1010" si="5148">F1010-E1010</f>
        <v>474</v>
      </c>
      <c r="H1010" s="49">
        <f t="shared" ref="H1010" si="5149">(F1010-F1009)/F1009</f>
        <v>0.27638888888888891</v>
      </c>
      <c r="I1010" s="58">
        <f t="shared" ref="I1010" si="5150">(E1010-E1009)/E1009</f>
        <v>-0.29477020602218701</v>
      </c>
      <c r="J1010" s="30">
        <f t="shared" ref="J1010" si="5151">E1010-E1009</f>
        <v>-186</v>
      </c>
      <c r="K1010" s="62">
        <f t="shared" ref="K1010" si="5152">(F1010-F958)/F958</f>
        <v>9.5351609058402856E-2</v>
      </c>
      <c r="L1010" s="48">
        <f t="shared" ref="L1010" si="5153">AVERAGE(F854,F906,F958)</f>
        <v>765.33333333333337</v>
      </c>
    </row>
    <row r="1011" spans="1:13" ht="14.25" x14ac:dyDescent="0.2">
      <c r="A1011" s="21">
        <f t="shared" si="3661"/>
        <v>45668</v>
      </c>
      <c r="B1011" s="3">
        <v>175</v>
      </c>
      <c r="C1011" s="3">
        <v>16</v>
      </c>
      <c r="D1011" s="3">
        <v>102</v>
      </c>
      <c r="E1011" s="3">
        <f t="shared" ref="E1011" si="5154">SUM(B1011:D1011)</f>
        <v>293</v>
      </c>
      <c r="F1011" s="67">
        <v>838</v>
      </c>
      <c r="G1011" s="3">
        <f t="shared" ref="G1011" si="5155">F1011-E1011</f>
        <v>545</v>
      </c>
      <c r="H1011" s="49">
        <f t="shared" ref="H1011" si="5156">(F1011-F1010)/F1010</f>
        <v>-8.8139281828073998E-2</v>
      </c>
      <c r="I1011" s="58">
        <f t="shared" ref="I1011" si="5157">(E1011-E1010)/E1010</f>
        <v>-0.34157303370786518</v>
      </c>
      <c r="J1011" s="30">
        <f t="shared" ref="J1011" si="5158">E1011-E1010</f>
        <v>-152</v>
      </c>
      <c r="K1011" s="62">
        <f t="shared" ref="K1011" si="5159">(F1011-F959)/F959</f>
        <v>7.7120822622107968E-2</v>
      </c>
      <c r="L1011" s="48">
        <f t="shared" ref="L1011" si="5160">AVERAGE(F855,F907,F959)</f>
        <v>826.33333333333337</v>
      </c>
    </row>
    <row r="1012" spans="1:13" ht="14.25" x14ac:dyDescent="0.2">
      <c r="A1012" s="21">
        <f t="shared" si="3661"/>
        <v>45675</v>
      </c>
      <c r="B1012" s="3">
        <v>165</v>
      </c>
      <c r="C1012" s="3">
        <v>11</v>
      </c>
      <c r="D1012" s="3">
        <v>108</v>
      </c>
      <c r="E1012" s="3">
        <f t="shared" ref="E1012" si="5161">SUM(B1012:D1012)</f>
        <v>284</v>
      </c>
      <c r="F1012" s="67">
        <v>911</v>
      </c>
      <c r="G1012" s="3">
        <f t="shared" ref="G1012" si="5162">F1012-E1012</f>
        <v>627</v>
      </c>
      <c r="H1012" s="49">
        <f t="shared" ref="H1012" si="5163">(F1012-F1011)/F1011</f>
        <v>8.7112171837708835E-2</v>
      </c>
      <c r="I1012" s="58">
        <f t="shared" ref="I1012" si="5164">(E1012-E1011)/E1011</f>
        <v>-3.0716723549488054E-2</v>
      </c>
      <c r="J1012" s="30">
        <f t="shared" ref="J1012" si="5165">E1012-E1011</f>
        <v>-9</v>
      </c>
      <c r="K1012" s="62">
        <f t="shared" ref="K1012" si="5166">(F1012-F960)/F960</f>
        <v>0.33773861967694568</v>
      </c>
      <c r="L1012" s="48">
        <f t="shared" ref="L1012" si="5167">AVERAGE(F856,F908,F960)</f>
        <v>724.33333333333337</v>
      </c>
    </row>
    <row r="1013" spans="1:13" ht="14.25" x14ac:dyDescent="0.2">
      <c r="A1013" s="21">
        <f t="shared" si="3661"/>
        <v>45682</v>
      </c>
      <c r="B1013" s="3">
        <v>186</v>
      </c>
      <c r="C1013" s="3">
        <v>31</v>
      </c>
      <c r="D1013" s="3">
        <v>204</v>
      </c>
      <c r="E1013" s="3">
        <f t="shared" ref="E1013" si="5168">SUM(B1013:D1013)</f>
        <v>421</v>
      </c>
      <c r="F1013" s="67">
        <v>418</v>
      </c>
      <c r="G1013" s="3">
        <f t="shared" ref="G1013" si="5169">F1013-E1013</f>
        <v>-3</v>
      </c>
      <c r="H1013" s="49">
        <f t="shared" ref="H1013" si="5170">(F1013-F1012)/F1012</f>
        <v>-0.54116355653128434</v>
      </c>
      <c r="I1013" s="58">
        <f t="shared" ref="I1013" si="5171">(E1013-E1012)/E1012</f>
        <v>0.48239436619718312</v>
      </c>
      <c r="J1013" s="30">
        <f t="shared" ref="J1013" si="5172">E1013-E1012</f>
        <v>137</v>
      </c>
      <c r="K1013" s="62">
        <f t="shared" ref="K1013" si="5173">(F1013-F961)/F961</f>
        <v>-0.11627906976744186</v>
      </c>
      <c r="L1013" s="48">
        <f t="shared" ref="L1013" si="5174">AVERAGE(F857,F909,F961)</f>
        <v>663.33333333333337</v>
      </c>
      <c r="M1013" s="29" t="s">
        <v>51</v>
      </c>
    </row>
    <row r="1014" spans="1:13" ht="14.25" x14ac:dyDescent="0.2">
      <c r="A1014" s="21">
        <f t="shared" si="3661"/>
        <v>45689</v>
      </c>
      <c r="B1014" s="3">
        <v>191</v>
      </c>
      <c r="C1014" s="3">
        <v>22</v>
      </c>
      <c r="D1014" s="3">
        <v>179</v>
      </c>
      <c r="E1014" s="3">
        <f t="shared" ref="E1014" si="5175">SUM(B1014:D1014)</f>
        <v>392</v>
      </c>
      <c r="F1014" s="67">
        <v>865</v>
      </c>
      <c r="G1014" s="3">
        <f t="shared" ref="G1014" si="5176">F1014-E1014</f>
        <v>473</v>
      </c>
      <c r="H1014" s="49">
        <f t="shared" ref="H1014" si="5177">(F1014-F1013)/F1013</f>
        <v>1.069377990430622</v>
      </c>
      <c r="I1014" s="58">
        <f t="shared" ref="I1014" si="5178">(E1014-E1013)/E1013</f>
        <v>-6.8883610451306407E-2</v>
      </c>
      <c r="J1014" s="30">
        <f t="shared" ref="J1014" si="5179">E1014-E1013</f>
        <v>-29</v>
      </c>
      <c r="K1014" s="62">
        <f t="shared" ref="K1014" si="5180">(F1014-F962)/F962</f>
        <v>0.11901681759379043</v>
      </c>
      <c r="L1014" s="48">
        <f t="shared" ref="L1014" si="5181">AVERAGE(F858,F910,F962)</f>
        <v>699.33333333333337</v>
      </c>
    </row>
    <row r="1015" spans="1:13" ht="14.25" x14ac:dyDescent="0.2">
      <c r="A1015" s="21">
        <f t="shared" si="3661"/>
        <v>45696</v>
      </c>
      <c r="B1015" s="3">
        <v>248</v>
      </c>
      <c r="C1015" s="3">
        <v>15</v>
      </c>
      <c r="D1015" s="3">
        <v>126</v>
      </c>
      <c r="E1015" s="3">
        <f t="shared" ref="E1015" si="5182">SUM(B1015:D1015)</f>
        <v>389</v>
      </c>
      <c r="F1015" s="67">
        <v>640</v>
      </c>
      <c r="G1015" s="3">
        <f t="shared" ref="G1015" si="5183">F1015-E1015</f>
        <v>251</v>
      </c>
      <c r="H1015" s="49">
        <f t="shared" ref="H1015" si="5184">(F1015-F1014)/F1014</f>
        <v>-0.26011560693641617</v>
      </c>
      <c r="I1015" s="58">
        <f t="shared" ref="I1015" si="5185">(E1015-E1014)/E1014</f>
        <v>-7.6530612244897957E-3</v>
      </c>
      <c r="J1015" s="30">
        <f t="shared" ref="J1015" si="5186">E1015-E1014</f>
        <v>-3</v>
      </c>
      <c r="K1015" s="62">
        <f t="shared" ref="K1015" si="5187">(F1015-F963)/F963</f>
        <v>-0.15231788079470199</v>
      </c>
      <c r="L1015" s="48">
        <f t="shared" ref="L1015" si="5188">AVERAGE(F859,F911,F963)</f>
        <v>784.33333333333337</v>
      </c>
    </row>
    <row r="1016" spans="1:13" ht="14.25" x14ac:dyDescent="0.2">
      <c r="A1016" s="21">
        <f t="shared" si="3661"/>
        <v>45703</v>
      </c>
      <c r="B1016" s="3">
        <v>225</v>
      </c>
      <c r="C1016" s="3">
        <v>33</v>
      </c>
      <c r="D1016" s="3">
        <v>165</v>
      </c>
      <c r="E1016" s="3">
        <f t="shared" ref="E1016" si="5189">SUM(B1016:D1016)</f>
        <v>423</v>
      </c>
      <c r="F1016" s="67">
        <v>703</v>
      </c>
      <c r="G1016" s="3">
        <f t="shared" ref="G1016" si="5190">F1016-E1016</f>
        <v>280</v>
      </c>
      <c r="H1016" s="49">
        <f t="shared" ref="H1016" si="5191">(F1016-F1015)/F1015</f>
        <v>9.8437499999999997E-2</v>
      </c>
      <c r="I1016" s="58">
        <f t="shared" ref="I1016" si="5192">(E1016-E1015)/E1015</f>
        <v>8.7403598971722368E-2</v>
      </c>
      <c r="J1016" s="30">
        <f t="shared" ref="J1016" si="5193">E1016-E1015</f>
        <v>34</v>
      </c>
      <c r="K1016" s="62">
        <f t="shared" ref="K1016" si="5194">(F1016-F964)/F964</f>
        <v>3.3823529411764704E-2</v>
      </c>
      <c r="L1016" s="48">
        <f t="shared" ref="L1016" si="5195">AVERAGE(F860,F912,F964)</f>
        <v>725.66666666666663</v>
      </c>
    </row>
    <row r="1017" spans="1:13" ht="14.25" x14ac:dyDescent="0.2">
      <c r="A1017" s="21">
        <f t="shared" si="3661"/>
        <v>45710</v>
      </c>
      <c r="B1017" s="3">
        <v>148</v>
      </c>
      <c r="C1017" s="3">
        <v>22</v>
      </c>
      <c r="D1017" s="3">
        <v>101</v>
      </c>
      <c r="E1017" s="3">
        <f t="shared" ref="E1017" si="5196">SUM(B1017:D1017)</f>
        <v>271</v>
      </c>
      <c r="F1017" s="67">
        <v>745</v>
      </c>
      <c r="G1017" s="3">
        <f t="shared" ref="G1017" si="5197">F1017-E1017</f>
        <v>474</v>
      </c>
      <c r="H1017" s="49">
        <f t="shared" ref="H1017" si="5198">(F1017-F1016)/F1016</f>
        <v>5.9743954480796585E-2</v>
      </c>
      <c r="I1017" s="58">
        <f t="shared" ref="I1017" si="5199">(E1017-E1016)/E1016</f>
        <v>-0.35933806146572106</v>
      </c>
      <c r="J1017" s="30">
        <f t="shared" ref="J1017" si="5200">E1017-E1016</f>
        <v>-152</v>
      </c>
      <c r="K1017" s="62">
        <f t="shared" ref="K1017" si="5201">(F1017-F965)/F965</f>
        <v>-2.8683181225554105E-2</v>
      </c>
      <c r="L1017" s="48">
        <f t="shared" ref="L1017" si="5202">AVERAGE(F861,F913,F965)</f>
        <v>658.33333333333337</v>
      </c>
    </row>
    <row r="1018" spans="1:13" ht="14.25" x14ac:dyDescent="0.2">
      <c r="A1018" s="21">
        <f t="shared" si="3661"/>
        <v>45717</v>
      </c>
      <c r="B1018" s="3">
        <v>110</v>
      </c>
      <c r="C1018" s="3">
        <v>27</v>
      </c>
      <c r="D1018" s="3">
        <v>164</v>
      </c>
      <c r="E1018" s="3">
        <f t="shared" ref="E1018" si="5203">SUM(B1018:D1018)</f>
        <v>301</v>
      </c>
      <c r="F1018" s="67">
        <v>635</v>
      </c>
      <c r="G1018" s="3">
        <f t="shared" ref="G1018" si="5204">F1018-E1018</f>
        <v>334</v>
      </c>
      <c r="H1018" s="49">
        <f t="shared" ref="H1018" si="5205">(F1018-F1017)/F1017</f>
        <v>-0.1476510067114094</v>
      </c>
      <c r="I1018" s="58">
        <f t="shared" ref="I1018" si="5206">(E1018-E1017)/E1017</f>
        <v>0.11070110701107011</v>
      </c>
      <c r="J1018" s="30">
        <f t="shared" ref="J1018" si="5207">E1018-E1017</f>
        <v>30</v>
      </c>
      <c r="K1018" s="62">
        <f t="shared" ref="K1018" si="5208">(F1018-F966)/F966</f>
        <v>-0.1325136612021858</v>
      </c>
      <c r="L1018" s="48">
        <f t="shared" ref="L1018" si="5209">AVERAGE(F862,F914,F966)</f>
        <v>752.33333333333337</v>
      </c>
    </row>
    <row r="1019" spans="1:13" ht="14.25" x14ac:dyDescent="0.2">
      <c r="A1019" s="21">
        <f t="shared" si="3661"/>
        <v>45724</v>
      </c>
      <c r="B1019" s="3">
        <v>97</v>
      </c>
      <c r="C1019" s="3">
        <v>29</v>
      </c>
      <c r="D1019" s="3">
        <v>122</v>
      </c>
      <c r="E1019" s="3">
        <f t="shared" ref="E1019" si="5210">SUM(B1019:D1019)</f>
        <v>248</v>
      </c>
      <c r="F1019" s="67">
        <v>727</v>
      </c>
      <c r="G1019" s="3">
        <f t="shared" ref="G1019" si="5211">F1019-E1019</f>
        <v>479</v>
      </c>
      <c r="H1019" s="49">
        <f t="shared" ref="H1019" si="5212">(F1019-F1018)/F1018</f>
        <v>0.14488188976377953</v>
      </c>
      <c r="I1019" s="58">
        <f t="shared" ref="I1019" si="5213">(E1019-E1018)/E1018</f>
        <v>-0.17607973421926909</v>
      </c>
      <c r="J1019" s="30">
        <f t="shared" ref="J1019" si="5214">E1019-E1018</f>
        <v>-53</v>
      </c>
      <c r="K1019" s="62">
        <f t="shared" ref="K1019" si="5215">(F1019-F967)/F967</f>
        <v>0.17069243156199679</v>
      </c>
      <c r="L1019" s="48">
        <f t="shared" ref="L1019" si="5216">AVERAGE(F863,F915,F967)</f>
        <v>656.33333333333337</v>
      </c>
    </row>
    <row r="1020" spans="1:13" ht="14.25" x14ac:dyDescent="0.2">
      <c r="A1020" s="21">
        <f t="shared" si="3661"/>
        <v>45731</v>
      </c>
      <c r="B1020" s="3">
        <v>245</v>
      </c>
      <c r="C1020" s="3">
        <v>24</v>
      </c>
      <c r="D1020" s="3">
        <v>238</v>
      </c>
      <c r="E1020" s="3">
        <f t="shared" ref="E1020" si="5217">SUM(B1020:D1020)</f>
        <v>507</v>
      </c>
      <c r="F1020" s="67">
        <v>704</v>
      </c>
      <c r="G1020" s="3">
        <f t="shared" ref="G1020" si="5218">F1020-E1020</f>
        <v>197</v>
      </c>
      <c r="H1020" s="49">
        <f t="shared" ref="H1020" si="5219">(F1020-F1019)/F1019</f>
        <v>-3.1636863823933978E-2</v>
      </c>
      <c r="I1020" s="58">
        <f t="shared" ref="I1020" si="5220">(E1020-E1019)/E1019</f>
        <v>1.0443548387096775</v>
      </c>
      <c r="J1020" s="30">
        <f t="shared" ref="J1020" si="5221">E1020-E1019</f>
        <v>259</v>
      </c>
      <c r="K1020" s="62">
        <f t="shared" ref="K1020" si="5222">(F1020-F968)/F968</f>
        <v>0.13915857605177995</v>
      </c>
      <c r="L1020" s="48">
        <f t="shared" ref="L1020" si="5223">AVERAGE(F864,F916,F968)</f>
        <v>652</v>
      </c>
    </row>
    <row r="1021" spans="1:13" ht="14.25" x14ac:dyDescent="0.2">
      <c r="A1021" s="21">
        <f t="shared" si="3661"/>
        <v>45738</v>
      </c>
      <c r="B1021" s="3">
        <v>235</v>
      </c>
      <c r="C1021" s="3">
        <v>27</v>
      </c>
      <c r="D1021" s="3">
        <v>197</v>
      </c>
      <c r="E1021" s="3">
        <f t="shared" ref="E1021:E1022" si="5224">SUM(B1021:D1021)</f>
        <v>459</v>
      </c>
      <c r="F1021" s="67">
        <v>853</v>
      </c>
      <c r="G1021" s="3">
        <f t="shared" ref="G1021" si="5225">F1021-E1021</f>
        <v>394</v>
      </c>
      <c r="H1021" s="49">
        <f t="shared" ref="H1021" si="5226">(F1021-F1020)/F1020</f>
        <v>0.21164772727272727</v>
      </c>
      <c r="I1021" s="58">
        <f t="shared" ref="I1021" si="5227">(E1021-E1020)/E1020</f>
        <v>-9.4674556213017749E-2</v>
      </c>
      <c r="J1021" s="30">
        <f t="shared" ref="J1021" si="5228">E1021-E1020</f>
        <v>-48</v>
      </c>
      <c r="K1021" s="62">
        <f t="shared" ref="K1021" si="5229">(F1021-F969)/F969</f>
        <v>0.31432973805855163</v>
      </c>
      <c r="L1021" s="48">
        <f t="shared" ref="L1021" si="5230">AVERAGE(F865,F917,F969)</f>
        <v>686</v>
      </c>
    </row>
    <row r="1022" spans="1:13" ht="14.25" x14ac:dyDescent="0.2">
      <c r="A1022" s="21">
        <f t="shared" si="3661"/>
        <v>45745</v>
      </c>
      <c r="B1022" s="3">
        <v>319</v>
      </c>
      <c r="C1022" s="3">
        <v>30</v>
      </c>
      <c r="D1022" s="3">
        <v>225</v>
      </c>
      <c r="E1022" s="3">
        <f t="shared" si="5224"/>
        <v>574</v>
      </c>
      <c r="F1022" s="72">
        <v>715</v>
      </c>
      <c r="G1022" s="3">
        <f t="shared" ref="G1022" si="5231">F1022-E1022</f>
        <v>141</v>
      </c>
      <c r="H1022" s="49">
        <f t="shared" ref="H1022" si="5232">(F1022-F1021)/F1021</f>
        <v>-0.16178194607268465</v>
      </c>
      <c r="I1022" s="58">
        <f t="shared" ref="I1022" si="5233">(E1022-E1021)/E1021</f>
        <v>0.25054466230936817</v>
      </c>
      <c r="J1022" s="30">
        <f t="shared" ref="J1022" si="5234">E1022-E1021</f>
        <v>115</v>
      </c>
      <c r="K1022" s="62">
        <f t="shared" ref="K1022" si="5235">(F1022-F970)/F970</f>
        <v>0.17792421746293247</v>
      </c>
      <c r="L1022" s="48">
        <f t="shared" ref="L1022" si="5236">AVERAGE(F866,F918,F970)</f>
        <v>673.33333333333337</v>
      </c>
    </row>
    <row r="1023" spans="1:13" ht="14.25" x14ac:dyDescent="0.2">
      <c r="A1023" s="21">
        <f t="shared" si="3661"/>
        <v>45752</v>
      </c>
      <c r="B1023" s="3">
        <v>166</v>
      </c>
      <c r="C1023" s="3">
        <v>20</v>
      </c>
      <c r="D1023" s="3">
        <v>77</v>
      </c>
      <c r="E1023" s="3">
        <f t="shared" ref="E1023" si="5237">SUM(B1023:D1023)</f>
        <v>263</v>
      </c>
      <c r="F1023" s="72">
        <v>747</v>
      </c>
      <c r="G1023" s="3">
        <f t="shared" ref="G1023" si="5238">F1023-E1023</f>
        <v>484</v>
      </c>
      <c r="H1023" s="49">
        <f t="shared" ref="H1023" si="5239">(F1023-F1022)/F1022</f>
        <v>4.4755244755244755E-2</v>
      </c>
      <c r="I1023" s="58">
        <f t="shared" ref="I1023" si="5240">(E1023-E1022)/E1022</f>
        <v>-0.54181184668989546</v>
      </c>
      <c r="J1023" s="30">
        <f t="shared" ref="J1023" si="5241">E1023-E1022</f>
        <v>-311</v>
      </c>
      <c r="K1023" s="62">
        <f t="shared" ref="K1023" si="5242">(F1023-F971)/F971</f>
        <v>0.2991304347826087</v>
      </c>
      <c r="L1023" s="48">
        <f t="shared" ref="L1023" si="5243">AVERAGE(F867,F919,F971)</f>
        <v>670</v>
      </c>
    </row>
    <row r="1024" spans="1:13" ht="14.25" x14ac:dyDescent="0.2">
      <c r="A1024" s="21">
        <f t="shared" si="3661"/>
        <v>45759</v>
      </c>
      <c r="B1024" s="3">
        <v>282</v>
      </c>
      <c r="C1024" s="3">
        <v>0</v>
      </c>
      <c r="D1024" s="3">
        <v>67</v>
      </c>
      <c r="E1024" s="3">
        <f t="shared" ref="E1024" si="5244">SUM(B1024:D1024)</f>
        <v>349</v>
      </c>
      <c r="F1024" s="72">
        <v>735</v>
      </c>
      <c r="G1024" s="3">
        <f t="shared" ref="G1024" si="5245">F1024-E1024</f>
        <v>386</v>
      </c>
      <c r="H1024" s="49">
        <f t="shared" ref="H1024" si="5246">(F1024-F1023)/F1023</f>
        <v>-1.6064257028112448E-2</v>
      </c>
      <c r="I1024" s="58">
        <f t="shared" ref="I1024" si="5247">(E1024-E1023)/E1023</f>
        <v>0.3269961977186312</v>
      </c>
      <c r="J1024" s="30">
        <f t="shared" ref="J1024" si="5248">E1024-E1023</f>
        <v>86</v>
      </c>
      <c r="K1024" s="62">
        <f t="shared" ref="K1024" si="5249">(F1024-F972)/F972</f>
        <v>0.37383177570093457</v>
      </c>
      <c r="L1024" s="48">
        <f t="shared" ref="L1024" si="5250">AVERAGE(F868,F920,F972)</f>
        <v>659.66666666666663</v>
      </c>
    </row>
    <row r="1025" spans="1:12" ht="14.25" x14ac:dyDescent="0.2">
      <c r="A1025" s="21">
        <f t="shared" si="3661"/>
        <v>45766</v>
      </c>
      <c r="B1025" s="3">
        <v>298</v>
      </c>
      <c r="C1025" s="3">
        <v>37</v>
      </c>
      <c r="D1025" s="3">
        <v>17</v>
      </c>
      <c r="E1025" s="3">
        <f t="shared" ref="E1025" si="5251">SUM(B1025:D1025)</f>
        <v>352</v>
      </c>
      <c r="F1025" s="72">
        <v>575</v>
      </c>
      <c r="G1025" s="3">
        <f t="shared" ref="G1025" si="5252">F1025-E1025</f>
        <v>223</v>
      </c>
      <c r="H1025" s="49">
        <f t="shared" ref="H1025" si="5253">(F1025-F1024)/F1024</f>
        <v>-0.21768707482993196</v>
      </c>
      <c r="I1025" s="58">
        <f t="shared" ref="I1025" si="5254">(E1025-E1024)/E1024</f>
        <v>8.5959885386819486E-3</v>
      </c>
      <c r="J1025" s="30">
        <f t="shared" ref="J1025" si="5255">E1025-E1024</f>
        <v>3</v>
      </c>
      <c r="K1025" s="62">
        <f t="shared" ref="K1025" si="5256">(F1025-F973)/F973</f>
        <v>6.0885608856088562E-2</v>
      </c>
      <c r="L1025" s="48">
        <f t="shared" ref="L1025" si="5257">AVERAGE(F869,F921,F973)</f>
        <v>637.33333333333337</v>
      </c>
    </row>
    <row r="1026" spans="1:12" x14ac:dyDescent="0.2">
      <c r="H1026" s="57"/>
      <c r="J1026" s="48"/>
      <c r="K1026" s="64"/>
      <c r="L1026" s="57"/>
    </row>
    <row r="1027" spans="1:12" x14ac:dyDescent="0.2">
      <c r="H1027" s="57"/>
      <c r="J1027" s="48"/>
      <c r="K1027" s="64"/>
      <c r="L1027" s="57"/>
    </row>
    <row r="1028" spans="1:12" x14ac:dyDescent="0.2">
      <c r="H1028" s="57"/>
      <c r="J1028" s="48"/>
      <c r="K1028" s="64"/>
      <c r="L1028" s="57"/>
    </row>
    <row r="1029" spans="1:12" x14ac:dyDescent="0.2">
      <c r="H1029" s="57"/>
      <c r="J1029" s="48"/>
      <c r="K1029" s="64"/>
      <c r="L1029" s="57"/>
    </row>
    <row r="1030" spans="1:12" x14ac:dyDescent="0.2">
      <c r="H1030" s="57"/>
      <c r="J1030" s="48"/>
      <c r="K1030" s="64"/>
      <c r="L1030" s="57"/>
    </row>
    <row r="1031" spans="1:12" x14ac:dyDescent="0.2">
      <c r="H1031" s="57"/>
      <c r="J1031" s="48"/>
      <c r="K1031" s="64"/>
      <c r="L1031" s="57"/>
    </row>
    <row r="1032" spans="1:12" x14ac:dyDescent="0.2">
      <c r="H1032" s="57"/>
      <c r="J1032" s="48"/>
      <c r="K1032" s="64"/>
      <c r="L1032" s="57"/>
    </row>
    <row r="1033" spans="1:12" x14ac:dyDescent="0.2">
      <c r="H1033" s="57"/>
      <c r="J1033" s="48"/>
      <c r="K1033" s="64"/>
      <c r="L1033" s="57"/>
    </row>
    <row r="1034" spans="1:12" x14ac:dyDescent="0.2">
      <c r="H1034" s="57"/>
      <c r="J1034" s="48"/>
      <c r="K1034" s="64"/>
      <c r="L1034" s="57"/>
    </row>
    <row r="1035" spans="1:12" x14ac:dyDescent="0.2">
      <c r="H1035" s="57"/>
      <c r="J1035" s="48"/>
      <c r="K1035" s="64"/>
      <c r="L1035" s="57"/>
    </row>
    <row r="1036" spans="1:12" x14ac:dyDescent="0.2">
      <c r="H1036" s="57"/>
      <c r="J1036" s="48"/>
      <c r="K1036" s="64"/>
      <c r="L1036" s="57"/>
    </row>
    <row r="1037" spans="1:12" x14ac:dyDescent="0.2">
      <c r="H1037" s="57"/>
      <c r="J1037" s="48"/>
      <c r="K1037" s="64"/>
      <c r="L1037" s="57"/>
    </row>
    <row r="1038" spans="1:12" x14ac:dyDescent="0.2">
      <c r="H1038" s="57"/>
      <c r="J1038" s="48"/>
      <c r="K1038" s="64"/>
      <c r="L1038" s="57"/>
    </row>
    <row r="1039" spans="1:12" x14ac:dyDescent="0.2">
      <c r="H1039" s="57"/>
      <c r="J1039" s="48"/>
      <c r="K1039" s="64"/>
      <c r="L1039" s="57"/>
    </row>
    <row r="1040" spans="1:12" x14ac:dyDescent="0.2">
      <c r="H1040" s="57"/>
      <c r="J1040" s="48"/>
      <c r="K1040" s="64"/>
      <c r="L1040" s="57"/>
    </row>
    <row r="1041" spans="8:12" x14ac:dyDescent="0.2">
      <c r="H1041" s="57"/>
      <c r="J1041" s="48"/>
      <c r="K1041" s="64"/>
      <c r="L1041" s="57"/>
    </row>
    <row r="1042" spans="8:12" x14ac:dyDescent="0.2">
      <c r="H1042" s="57"/>
      <c r="J1042" s="48"/>
      <c r="K1042" s="64"/>
      <c r="L1042" s="57"/>
    </row>
    <row r="1043" spans="8:12" x14ac:dyDescent="0.2">
      <c r="H1043" s="57"/>
      <c r="J1043" s="48"/>
      <c r="K1043" s="64"/>
      <c r="L1043" s="57"/>
    </row>
    <row r="1044" spans="8:12" x14ac:dyDescent="0.2">
      <c r="H1044" s="57"/>
      <c r="J1044" s="48"/>
      <c r="K1044" s="64"/>
      <c r="L1044" s="57"/>
    </row>
    <row r="1045" spans="8:12" x14ac:dyDescent="0.2">
      <c r="H1045" s="57"/>
      <c r="J1045" s="48"/>
      <c r="K1045" s="64"/>
      <c r="L1045" s="57"/>
    </row>
    <row r="1046" spans="8:12" x14ac:dyDescent="0.2">
      <c r="H1046" s="57"/>
      <c r="J1046" s="48"/>
      <c r="K1046" s="64"/>
      <c r="L1046" s="57"/>
    </row>
    <row r="1047" spans="8:12" x14ac:dyDescent="0.2">
      <c r="H1047" s="57"/>
      <c r="J1047" s="48"/>
      <c r="K1047" s="64"/>
      <c r="L1047" s="57"/>
    </row>
    <row r="1048" spans="8:12" x14ac:dyDescent="0.2">
      <c r="H1048" s="57"/>
      <c r="J1048" s="48"/>
      <c r="K1048" s="64"/>
      <c r="L1048" s="57"/>
    </row>
    <row r="1049" spans="8:12" x14ac:dyDescent="0.2">
      <c r="H1049" s="57"/>
      <c r="J1049" s="48"/>
      <c r="K1049" s="64"/>
      <c r="L1049" s="57"/>
    </row>
    <row r="1050" spans="8:12" x14ac:dyDescent="0.2">
      <c r="H1050" s="57"/>
      <c r="J1050" s="48"/>
      <c r="K1050" s="64"/>
      <c r="L1050" s="57"/>
    </row>
    <row r="1051" spans="8:12" x14ac:dyDescent="0.2">
      <c r="H1051" s="57"/>
      <c r="J1051" s="48"/>
      <c r="K1051" s="64"/>
      <c r="L1051" s="57"/>
    </row>
    <row r="1052" spans="8:12" x14ac:dyDescent="0.2">
      <c r="H1052" s="57"/>
      <c r="J1052" s="48"/>
      <c r="K1052" s="64"/>
      <c r="L1052" s="57"/>
    </row>
    <row r="1053" spans="8:12" x14ac:dyDescent="0.2">
      <c r="H1053" s="57"/>
      <c r="J1053" s="48"/>
      <c r="K1053" s="64"/>
      <c r="L1053" s="57"/>
    </row>
    <row r="1054" spans="8:12" x14ac:dyDescent="0.2">
      <c r="H1054" s="57"/>
      <c r="J1054" s="48"/>
      <c r="K1054" s="64"/>
      <c r="L1054" s="57"/>
    </row>
    <row r="1055" spans="8:12" x14ac:dyDescent="0.2">
      <c r="H1055" s="57"/>
      <c r="J1055" s="48"/>
      <c r="K1055" s="64"/>
      <c r="L1055" s="57"/>
    </row>
    <row r="1056" spans="8:12" x14ac:dyDescent="0.2">
      <c r="H1056" s="57"/>
      <c r="J1056" s="48"/>
      <c r="K1056" s="64"/>
      <c r="L1056" s="57"/>
    </row>
    <row r="1057" spans="8:12" x14ac:dyDescent="0.2">
      <c r="H1057" s="57"/>
      <c r="J1057" s="48"/>
      <c r="K1057" s="64"/>
      <c r="L1057" s="57"/>
    </row>
    <row r="1058" spans="8:12" x14ac:dyDescent="0.2">
      <c r="H1058" s="57"/>
      <c r="J1058" s="48"/>
      <c r="K1058" s="64"/>
      <c r="L1058" s="57"/>
    </row>
    <row r="1059" spans="8:12" x14ac:dyDescent="0.2">
      <c r="H1059" s="57"/>
      <c r="J1059" s="48"/>
      <c r="K1059" s="64"/>
      <c r="L1059" s="57"/>
    </row>
    <row r="1060" spans="8:12" x14ac:dyDescent="0.2">
      <c r="H1060" s="57"/>
      <c r="J1060" s="48"/>
      <c r="K1060" s="64"/>
      <c r="L1060" s="57"/>
    </row>
    <row r="1061" spans="8:12" x14ac:dyDescent="0.2">
      <c r="H1061" s="57"/>
      <c r="J1061" s="48"/>
      <c r="K1061" s="64"/>
      <c r="L1061" s="57"/>
    </row>
    <row r="1062" spans="8:12" x14ac:dyDescent="0.2">
      <c r="H1062" s="57"/>
      <c r="J1062" s="48"/>
      <c r="K1062" s="64"/>
      <c r="L1062" s="57"/>
    </row>
    <row r="1063" spans="8:12" x14ac:dyDescent="0.2">
      <c r="H1063" s="57"/>
      <c r="J1063" s="48"/>
      <c r="K1063" s="64"/>
      <c r="L1063" s="57"/>
    </row>
    <row r="1064" spans="8:12" x14ac:dyDescent="0.2">
      <c r="H1064" s="57"/>
      <c r="J1064" s="48"/>
      <c r="K1064" s="64"/>
      <c r="L1064" s="57"/>
    </row>
    <row r="1065" spans="8:12" x14ac:dyDescent="0.2">
      <c r="H1065" s="57"/>
      <c r="J1065" s="48"/>
      <c r="K1065" s="64"/>
      <c r="L1065" s="57"/>
    </row>
    <row r="1066" spans="8:12" x14ac:dyDescent="0.2">
      <c r="H1066" s="57"/>
      <c r="J1066" s="48"/>
      <c r="K1066" s="64"/>
      <c r="L1066" s="57"/>
    </row>
    <row r="1067" spans="8:12" x14ac:dyDescent="0.2">
      <c r="H1067" s="57"/>
      <c r="J1067" s="48"/>
      <c r="K1067" s="64"/>
      <c r="L1067" s="57"/>
    </row>
    <row r="1068" spans="8:12" x14ac:dyDescent="0.2">
      <c r="H1068" s="57"/>
      <c r="J1068" s="48"/>
      <c r="K1068" s="64"/>
      <c r="L1068" s="57"/>
    </row>
    <row r="1069" spans="8:12" x14ac:dyDescent="0.2">
      <c r="H1069" s="57"/>
      <c r="J1069" s="48"/>
      <c r="K1069" s="64"/>
      <c r="L1069" s="57"/>
    </row>
    <row r="1070" spans="8:12" x14ac:dyDescent="0.2">
      <c r="H1070" s="57"/>
      <c r="J1070" s="48"/>
      <c r="K1070" s="64"/>
      <c r="L1070" s="57"/>
    </row>
    <row r="1071" spans="8:12" x14ac:dyDescent="0.2">
      <c r="H1071" s="57"/>
      <c r="J1071" s="48"/>
      <c r="K1071" s="64"/>
      <c r="L1071" s="57"/>
    </row>
    <row r="1072" spans="8:12" x14ac:dyDescent="0.2">
      <c r="H1072" s="57"/>
      <c r="J1072" s="48"/>
      <c r="K1072" s="64"/>
      <c r="L1072" s="57"/>
    </row>
    <row r="1073" spans="8:12" x14ac:dyDescent="0.2">
      <c r="H1073" s="57"/>
      <c r="J1073" s="48"/>
      <c r="K1073" s="64"/>
      <c r="L1073" s="57"/>
    </row>
    <row r="1074" spans="8:12" x14ac:dyDescent="0.2">
      <c r="H1074" s="57"/>
      <c r="J1074" s="48"/>
      <c r="K1074" s="64"/>
      <c r="L1074" s="57"/>
    </row>
    <row r="1075" spans="8:12" x14ac:dyDescent="0.2">
      <c r="H1075" s="57"/>
      <c r="J1075" s="48"/>
      <c r="K1075" s="64"/>
      <c r="L1075" s="57"/>
    </row>
    <row r="1076" spans="8:12" x14ac:dyDescent="0.2">
      <c r="H1076" s="57"/>
      <c r="J1076" s="48"/>
      <c r="K1076" s="64"/>
      <c r="L1076" s="57"/>
    </row>
    <row r="1077" spans="8:12" x14ac:dyDescent="0.2">
      <c r="H1077" s="57"/>
      <c r="J1077" s="48"/>
      <c r="K1077" s="64"/>
      <c r="L1077" s="57"/>
    </row>
    <row r="1078" spans="8:12" x14ac:dyDescent="0.2">
      <c r="H1078" s="57"/>
      <c r="J1078" s="48"/>
      <c r="K1078" s="64"/>
      <c r="L1078" s="57"/>
    </row>
    <row r="1079" spans="8:12" x14ac:dyDescent="0.2">
      <c r="H1079" s="57"/>
      <c r="J1079" s="48"/>
      <c r="K1079" s="64"/>
      <c r="L1079" s="57"/>
    </row>
    <row r="1080" spans="8:12" x14ac:dyDescent="0.2">
      <c r="H1080" s="57"/>
      <c r="J1080" s="48"/>
      <c r="K1080" s="64"/>
      <c r="L1080" s="57"/>
    </row>
    <row r="1081" spans="8:12" x14ac:dyDescent="0.2">
      <c r="H1081" s="57"/>
      <c r="J1081" s="48"/>
      <c r="K1081" s="64"/>
      <c r="L1081" s="57"/>
    </row>
    <row r="1082" spans="8:12" x14ac:dyDescent="0.2">
      <c r="H1082" s="57"/>
      <c r="J1082" s="48"/>
      <c r="K1082" s="64"/>
      <c r="L1082" s="57"/>
    </row>
    <row r="1083" spans="8:12" x14ac:dyDescent="0.2">
      <c r="H1083" s="57"/>
      <c r="J1083" s="48"/>
      <c r="K1083" s="64"/>
      <c r="L1083" s="57"/>
    </row>
    <row r="1084" spans="8:12" x14ac:dyDescent="0.2">
      <c r="H1084" s="57"/>
      <c r="J1084" s="48"/>
      <c r="K1084" s="64"/>
      <c r="L1084" s="57"/>
    </row>
    <row r="1085" spans="8:12" x14ac:dyDescent="0.2">
      <c r="H1085" s="57"/>
      <c r="J1085" s="48"/>
      <c r="K1085" s="64"/>
      <c r="L1085" s="57"/>
    </row>
    <row r="1086" spans="8:12" x14ac:dyDescent="0.2">
      <c r="H1086" s="57"/>
      <c r="J1086" s="48"/>
      <c r="K1086" s="64"/>
      <c r="L1086" s="57"/>
    </row>
    <row r="1087" spans="8:12" x14ac:dyDescent="0.2">
      <c r="H1087" s="57"/>
      <c r="J1087" s="48"/>
      <c r="K1087" s="64"/>
      <c r="L1087" s="57"/>
    </row>
    <row r="1088" spans="8:12" x14ac:dyDescent="0.2">
      <c r="H1088" s="57"/>
      <c r="J1088" s="48"/>
      <c r="K1088" s="64"/>
      <c r="L1088" s="57"/>
    </row>
    <row r="1089" spans="8:12" x14ac:dyDescent="0.2">
      <c r="H1089" s="57"/>
      <c r="J1089" s="48"/>
      <c r="K1089" s="64"/>
      <c r="L1089" s="57"/>
    </row>
    <row r="1090" spans="8:12" x14ac:dyDescent="0.2">
      <c r="H1090" s="57"/>
      <c r="J1090" s="48"/>
      <c r="K1090" s="64"/>
      <c r="L1090" s="57"/>
    </row>
    <row r="1091" spans="8:12" x14ac:dyDescent="0.2">
      <c r="H1091" s="57"/>
      <c r="J1091" s="48"/>
      <c r="K1091" s="64"/>
      <c r="L1091" s="57"/>
    </row>
    <row r="1092" spans="8:12" x14ac:dyDescent="0.2">
      <c r="H1092" s="57"/>
      <c r="J1092" s="48"/>
      <c r="K1092" s="64"/>
      <c r="L1092" s="57"/>
    </row>
    <row r="1093" spans="8:12" x14ac:dyDescent="0.2">
      <c r="H1093" s="57"/>
      <c r="J1093" s="48"/>
      <c r="K1093" s="64"/>
      <c r="L1093" s="57"/>
    </row>
    <row r="1094" spans="8:12" x14ac:dyDescent="0.2">
      <c r="H1094" s="57"/>
      <c r="J1094" s="48"/>
      <c r="K1094" s="64"/>
      <c r="L1094" s="57"/>
    </row>
    <row r="1095" spans="8:12" x14ac:dyDescent="0.2">
      <c r="H1095" s="57"/>
      <c r="J1095" s="48"/>
      <c r="K1095" s="64"/>
      <c r="L1095" s="57"/>
    </row>
    <row r="1096" spans="8:12" x14ac:dyDescent="0.2">
      <c r="H1096" s="57"/>
      <c r="J1096" s="48"/>
      <c r="K1096" s="64"/>
      <c r="L1096" s="57"/>
    </row>
    <row r="1097" spans="8:12" x14ac:dyDescent="0.2">
      <c r="H1097" s="57"/>
      <c r="J1097" s="48"/>
      <c r="K1097" s="64"/>
      <c r="L1097" s="57"/>
    </row>
    <row r="1098" spans="8:12" x14ac:dyDescent="0.2">
      <c r="H1098" s="57"/>
      <c r="J1098" s="48"/>
      <c r="K1098" s="64"/>
      <c r="L1098" s="57"/>
    </row>
    <row r="1099" spans="8:12" x14ac:dyDescent="0.2">
      <c r="H1099" s="57"/>
      <c r="J1099" s="48"/>
      <c r="K1099" s="64"/>
      <c r="L1099" s="57"/>
    </row>
    <row r="1100" spans="8:12" x14ac:dyDescent="0.2">
      <c r="H1100" s="57"/>
      <c r="J1100" s="48"/>
      <c r="K1100" s="64"/>
      <c r="L1100" s="57"/>
    </row>
    <row r="1101" spans="8:12" x14ac:dyDescent="0.2">
      <c r="H1101" s="57"/>
      <c r="J1101" s="48"/>
      <c r="K1101" s="64"/>
      <c r="L1101" s="57"/>
    </row>
    <row r="1102" spans="8:12" x14ac:dyDescent="0.2">
      <c r="H1102" s="57"/>
      <c r="J1102" s="48"/>
      <c r="K1102" s="64"/>
      <c r="L1102" s="57"/>
    </row>
    <row r="1103" spans="8:12" x14ac:dyDescent="0.2">
      <c r="H1103" s="57"/>
      <c r="J1103" s="48"/>
      <c r="K1103" s="64"/>
      <c r="L1103" s="57"/>
    </row>
    <row r="1104" spans="8:12" x14ac:dyDescent="0.2">
      <c r="H1104" s="57"/>
      <c r="J1104" s="48"/>
      <c r="K1104" s="64"/>
      <c r="L1104" s="57"/>
    </row>
    <row r="1105" spans="8:12" x14ac:dyDescent="0.2">
      <c r="H1105" s="57"/>
      <c r="J1105" s="48"/>
      <c r="K1105" s="64"/>
      <c r="L1105" s="57"/>
    </row>
    <row r="1106" spans="8:12" x14ac:dyDescent="0.2">
      <c r="H1106" s="57"/>
      <c r="J1106" s="48"/>
      <c r="K1106" s="64"/>
      <c r="L1106" s="57"/>
    </row>
    <row r="1107" spans="8:12" x14ac:dyDescent="0.2">
      <c r="H1107" s="57"/>
      <c r="J1107" s="48"/>
      <c r="K1107" s="64"/>
      <c r="L1107" s="57"/>
    </row>
    <row r="1108" spans="8:12" x14ac:dyDescent="0.2">
      <c r="H1108" s="57"/>
      <c r="J1108" s="48"/>
      <c r="K1108" s="64"/>
      <c r="L1108" s="57"/>
    </row>
    <row r="1109" spans="8:12" x14ac:dyDescent="0.2">
      <c r="H1109" s="57"/>
      <c r="J1109" s="48"/>
      <c r="K1109" s="64"/>
      <c r="L1109" s="57"/>
    </row>
    <row r="1110" spans="8:12" x14ac:dyDescent="0.2">
      <c r="H1110" s="57"/>
      <c r="J1110" s="48"/>
      <c r="K1110" s="64"/>
      <c r="L1110" s="57"/>
    </row>
    <row r="1111" spans="8:12" x14ac:dyDescent="0.2">
      <c r="H1111" s="57"/>
      <c r="J1111" s="48"/>
      <c r="K1111" s="64"/>
      <c r="L1111" s="57"/>
    </row>
    <row r="1112" spans="8:12" x14ac:dyDescent="0.2">
      <c r="H1112" s="57"/>
      <c r="J1112" s="48"/>
      <c r="K1112" s="64"/>
      <c r="L1112" s="57"/>
    </row>
    <row r="1113" spans="8:12" x14ac:dyDescent="0.2">
      <c r="H1113" s="57"/>
      <c r="J1113" s="48"/>
      <c r="K1113" s="64"/>
      <c r="L1113" s="57"/>
    </row>
    <row r="1114" spans="8:12" x14ac:dyDescent="0.2">
      <c r="H1114" s="57"/>
      <c r="J1114" s="48"/>
      <c r="K1114" s="64"/>
      <c r="L1114" s="57"/>
    </row>
    <row r="1115" spans="8:12" x14ac:dyDescent="0.2">
      <c r="H1115" s="57"/>
      <c r="J1115" s="48"/>
      <c r="K1115" s="64"/>
      <c r="L1115" s="57"/>
    </row>
    <row r="1116" spans="8:12" x14ac:dyDescent="0.2">
      <c r="H1116" s="57"/>
      <c r="J1116" s="48"/>
      <c r="K1116" s="64"/>
      <c r="L1116" s="57"/>
    </row>
    <row r="1117" spans="8:12" x14ac:dyDescent="0.2">
      <c r="H1117" s="57"/>
      <c r="J1117" s="48"/>
      <c r="K1117" s="64"/>
      <c r="L1117" s="57"/>
    </row>
    <row r="1118" spans="8:12" x14ac:dyDescent="0.2">
      <c r="H1118" s="57"/>
      <c r="J1118" s="48"/>
      <c r="K1118" s="64"/>
      <c r="L1118" s="57"/>
    </row>
    <row r="1119" spans="8:12" x14ac:dyDescent="0.2">
      <c r="H1119" s="57"/>
      <c r="J1119" s="48"/>
      <c r="K1119" s="64"/>
      <c r="L1119" s="57"/>
    </row>
    <row r="1120" spans="8:12" x14ac:dyDescent="0.2">
      <c r="H1120" s="57"/>
      <c r="J1120" s="48"/>
      <c r="K1120" s="64"/>
      <c r="L1120" s="57"/>
    </row>
    <row r="1121" spans="8:12" x14ac:dyDescent="0.2">
      <c r="H1121" s="57"/>
      <c r="J1121" s="48"/>
      <c r="K1121" s="64"/>
      <c r="L1121" s="57"/>
    </row>
    <row r="1122" spans="8:12" x14ac:dyDescent="0.2">
      <c r="H1122" s="57"/>
      <c r="J1122" s="48"/>
      <c r="K1122" s="64"/>
      <c r="L1122" s="57"/>
    </row>
    <row r="1123" spans="8:12" x14ac:dyDescent="0.2">
      <c r="H1123" s="57"/>
      <c r="J1123" s="48"/>
      <c r="K1123" s="64"/>
      <c r="L1123" s="57"/>
    </row>
    <row r="1124" spans="8:12" x14ac:dyDescent="0.2">
      <c r="H1124" s="57"/>
      <c r="J1124" s="48"/>
      <c r="K1124" s="64"/>
      <c r="L1124" s="57"/>
    </row>
    <row r="1125" spans="8:12" x14ac:dyDescent="0.2">
      <c r="H1125" s="57"/>
      <c r="J1125" s="48"/>
      <c r="K1125" s="64"/>
      <c r="L1125" s="57"/>
    </row>
    <row r="1126" spans="8:12" x14ac:dyDescent="0.2">
      <c r="H1126" s="57"/>
      <c r="J1126" s="48"/>
      <c r="K1126" s="64"/>
      <c r="L1126" s="57"/>
    </row>
    <row r="1127" spans="8:12" x14ac:dyDescent="0.2">
      <c r="H1127" s="57"/>
      <c r="J1127" s="48"/>
      <c r="K1127" s="64"/>
      <c r="L1127" s="57"/>
    </row>
    <row r="1128" spans="8:12" x14ac:dyDescent="0.2">
      <c r="H1128" s="57"/>
      <c r="J1128" s="48"/>
      <c r="K1128" s="64"/>
      <c r="L1128" s="57"/>
    </row>
    <row r="1129" spans="8:12" x14ac:dyDescent="0.2">
      <c r="H1129" s="57"/>
      <c r="J1129" s="48"/>
      <c r="K1129" s="64"/>
      <c r="L1129" s="57"/>
    </row>
    <row r="1130" spans="8:12" x14ac:dyDescent="0.2">
      <c r="H1130" s="57"/>
      <c r="J1130" s="48"/>
      <c r="K1130" s="64"/>
      <c r="L1130" s="57"/>
    </row>
    <row r="1131" spans="8:12" x14ac:dyDescent="0.2">
      <c r="H1131" s="57"/>
      <c r="J1131" s="48"/>
      <c r="K1131" s="64"/>
      <c r="L1131" s="57"/>
    </row>
    <row r="1132" spans="8:12" x14ac:dyDescent="0.2">
      <c r="H1132" s="57"/>
      <c r="J1132" s="48"/>
      <c r="K1132" s="64"/>
      <c r="L1132" s="57"/>
    </row>
    <row r="1133" spans="8:12" x14ac:dyDescent="0.2">
      <c r="H1133" s="57"/>
      <c r="J1133" s="48"/>
      <c r="K1133" s="64"/>
      <c r="L1133" s="57"/>
    </row>
    <row r="1134" spans="8:12" x14ac:dyDescent="0.2">
      <c r="H1134" s="57"/>
      <c r="J1134" s="48"/>
      <c r="K1134" s="64"/>
      <c r="L1134" s="57"/>
    </row>
    <row r="1135" spans="8:12" x14ac:dyDescent="0.2">
      <c r="H1135" s="57"/>
      <c r="J1135" s="48"/>
      <c r="K1135" s="64"/>
      <c r="L1135" s="57"/>
    </row>
    <row r="1136" spans="8:12" x14ac:dyDescent="0.2">
      <c r="H1136" s="57"/>
      <c r="J1136" s="48"/>
      <c r="K1136" s="64"/>
      <c r="L1136" s="57"/>
    </row>
    <row r="1137" spans="8:12" x14ac:dyDescent="0.2">
      <c r="H1137" s="57"/>
      <c r="J1137" s="48"/>
      <c r="K1137" s="64"/>
      <c r="L1137" s="57"/>
    </row>
    <row r="1138" spans="8:12" x14ac:dyDescent="0.2">
      <c r="H1138" s="57"/>
      <c r="J1138" s="48"/>
      <c r="K1138" s="64"/>
      <c r="L1138" s="57"/>
    </row>
    <row r="1139" spans="8:12" x14ac:dyDescent="0.2">
      <c r="H1139" s="57"/>
      <c r="J1139" s="48"/>
      <c r="K1139" s="64"/>
      <c r="L1139" s="57"/>
    </row>
    <row r="1140" spans="8:12" x14ac:dyDescent="0.2">
      <c r="H1140" s="57"/>
      <c r="J1140" s="48"/>
      <c r="K1140" s="64"/>
      <c r="L1140" s="57"/>
    </row>
    <row r="1141" spans="8:12" x14ac:dyDescent="0.2">
      <c r="H1141" s="57"/>
      <c r="J1141" s="48"/>
      <c r="K1141" s="64"/>
      <c r="L1141" s="57"/>
    </row>
    <row r="1142" spans="8:12" x14ac:dyDescent="0.2">
      <c r="H1142" s="57"/>
      <c r="J1142" s="48"/>
      <c r="K1142" s="64"/>
      <c r="L1142" s="57"/>
    </row>
    <row r="1143" spans="8:12" x14ac:dyDescent="0.2">
      <c r="H1143" s="57"/>
      <c r="J1143" s="48"/>
      <c r="K1143" s="64"/>
      <c r="L1143" s="57"/>
    </row>
    <row r="1144" spans="8:12" x14ac:dyDescent="0.2">
      <c r="H1144" s="57"/>
      <c r="J1144" s="48"/>
      <c r="K1144" s="64"/>
      <c r="L1144" s="57"/>
    </row>
    <row r="1145" spans="8:12" x14ac:dyDescent="0.2">
      <c r="H1145" s="57"/>
      <c r="J1145" s="48"/>
      <c r="K1145" s="64"/>
      <c r="L1145" s="57"/>
    </row>
    <row r="1146" spans="8:12" x14ac:dyDescent="0.2">
      <c r="H1146" s="57"/>
      <c r="J1146" s="48"/>
      <c r="K1146" s="64"/>
      <c r="L1146" s="57"/>
    </row>
    <row r="1147" spans="8:12" x14ac:dyDescent="0.2">
      <c r="H1147" s="57"/>
      <c r="J1147" s="48"/>
      <c r="K1147" s="64"/>
      <c r="L1147" s="57"/>
    </row>
    <row r="1148" spans="8:12" x14ac:dyDescent="0.2">
      <c r="H1148" s="57"/>
      <c r="J1148" s="48"/>
      <c r="K1148" s="64"/>
      <c r="L1148" s="57"/>
    </row>
    <row r="1149" spans="8:12" x14ac:dyDescent="0.2">
      <c r="H1149" s="57"/>
      <c r="J1149" s="48"/>
      <c r="K1149" s="64"/>
      <c r="L1149" s="57"/>
    </row>
    <row r="1150" spans="8:12" x14ac:dyDescent="0.2">
      <c r="H1150" s="57"/>
      <c r="J1150" s="48"/>
      <c r="K1150" s="64"/>
      <c r="L1150" s="57"/>
    </row>
    <row r="1151" spans="8:12" x14ac:dyDescent="0.2">
      <c r="H1151" s="57"/>
      <c r="J1151" s="48"/>
      <c r="K1151" s="64"/>
      <c r="L1151" s="57"/>
    </row>
    <row r="1152" spans="8:12" x14ac:dyDescent="0.2">
      <c r="H1152" s="57"/>
      <c r="J1152" s="48"/>
      <c r="K1152" s="64"/>
      <c r="L1152" s="57"/>
    </row>
    <row r="1153" spans="8:12" x14ac:dyDescent="0.2">
      <c r="H1153" s="57"/>
      <c r="J1153" s="48"/>
      <c r="K1153" s="64"/>
      <c r="L1153" s="57"/>
    </row>
    <row r="1154" spans="8:12" x14ac:dyDescent="0.2">
      <c r="H1154" s="57"/>
      <c r="J1154" s="48"/>
      <c r="K1154" s="64"/>
      <c r="L1154" s="57"/>
    </row>
    <row r="1155" spans="8:12" x14ac:dyDescent="0.2">
      <c r="H1155" s="57"/>
      <c r="J1155" s="48"/>
      <c r="K1155" s="64"/>
      <c r="L1155" s="57"/>
    </row>
    <row r="1156" spans="8:12" x14ac:dyDescent="0.2">
      <c r="H1156" s="57"/>
      <c r="J1156" s="48"/>
      <c r="K1156" s="64"/>
      <c r="L1156" s="57"/>
    </row>
    <row r="1157" spans="8:12" x14ac:dyDescent="0.2">
      <c r="H1157" s="57"/>
      <c r="J1157" s="48"/>
      <c r="K1157" s="64"/>
      <c r="L1157" s="57"/>
    </row>
    <row r="1158" spans="8:12" x14ac:dyDescent="0.2">
      <c r="H1158" s="57"/>
      <c r="J1158" s="48"/>
      <c r="K1158" s="64"/>
      <c r="L1158" s="57"/>
    </row>
    <row r="1159" spans="8:12" x14ac:dyDescent="0.2">
      <c r="H1159" s="57"/>
      <c r="J1159" s="48"/>
      <c r="K1159" s="64"/>
      <c r="L1159" s="57"/>
    </row>
    <row r="1160" spans="8:12" x14ac:dyDescent="0.2">
      <c r="H1160" s="57"/>
      <c r="J1160" s="48"/>
      <c r="K1160" s="64"/>
      <c r="L1160" s="57"/>
    </row>
    <row r="1161" spans="8:12" x14ac:dyDescent="0.2">
      <c r="H1161" s="57"/>
      <c r="J1161" s="48"/>
      <c r="K1161" s="64"/>
      <c r="L1161" s="57"/>
    </row>
    <row r="1162" spans="8:12" x14ac:dyDescent="0.2">
      <c r="H1162" s="57"/>
      <c r="J1162" s="48"/>
      <c r="K1162" s="64"/>
      <c r="L1162" s="57"/>
    </row>
    <row r="1163" spans="8:12" x14ac:dyDescent="0.2">
      <c r="H1163" s="57"/>
      <c r="J1163" s="48"/>
      <c r="K1163" s="64"/>
      <c r="L1163" s="57"/>
    </row>
    <row r="1164" spans="8:12" x14ac:dyDescent="0.2">
      <c r="H1164" s="57"/>
      <c r="J1164" s="48"/>
      <c r="K1164" s="64"/>
      <c r="L1164" s="57"/>
    </row>
    <row r="1165" spans="8:12" x14ac:dyDescent="0.2">
      <c r="H1165" s="57"/>
      <c r="J1165" s="48"/>
      <c r="K1165" s="64"/>
      <c r="L1165" s="57"/>
    </row>
    <row r="1166" spans="8:12" x14ac:dyDescent="0.2">
      <c r="H1166" s="57"/>
      <c r="J1166" s="48"/>
      <c r="K1166" s="64"/>
      <c r="L1166" s="57"/>
    </row>
    <row r="1167" spans="8:12" x14ac:dyDescent="0.2">
      <c r="H1167" s="57"/>
      <c r="J1167" s="48"/>
      <c r="K1167" s="64"/>
      <c r="L1167" s="57"/>
    </row>
    <row r="1168" spans="8:12" x14ac:dyDescent="0.2">
      <c r="H1168" s="57"/>
      <c r="J1168" s="48"/>
      <c r="K1168" s="64"/>
      <c r="L1168" s="57"/>
    </row>
    <row r="1169" spans="8:12" x14ac:dyDescent="0.2">
      <c r="H1169" s="57"/>
      <c r="J1169" s="48"/>
      <c r="K1169" s="64"/>
      <c r="L1169" s="57"/>
    </row>
    <row r="1170" spans="8:12" x14ac:dyDescent="0.2">
      <c r="H1170" s="57"/>
      <c r="J1170" s="48"/>
      <c r="K1170" s="64"/>
      <c r="L1170" s="57"/>
    </row>
    <row r="1171" spans="8:12" x14ac:dyDescent="0.2">
      <c r="H1171" s="57"/>
      <c r="J1171" s="48"/>
      <c r="K1171" s="64"/>
      <c r="L1171" s="57"/>
    </row>
    <row r="1172" spans="8:12" x14ac:dyDescent="0.2">
      <c r="H1172" s="57"/>
      <c r="J1172" s="48"/>
      <c r="K1172" s="64"/>
      <c r="L1172" s="57"/>
    </row>
    <row r="1173" spans="8:12" x14ac:dyDescent="0.2">
      <c r="H1173" s="57"/>
      <c r="J1173" s="48"/>
      <c r="K1173" s="64"/>
      <c r="L1173" s="57"/>
    </row>
    <row r="1174" spans="8:12" x14ac:dyDescent="0.2">
      <c r="H1174" s="57"/>
      <c r="J1174" s="48"/>
      <c r="K1174" s="64"/>
      <c r="L1174" s="57"/>
    </row>
    <row r="1175" spans="8:12" x14ac:dyDescent="0.2">
      <c r="H1175" s="57"/>
      <c r="J1175" s="48"/>
      <c r="K1175" s="64"/>
      <c r="L1175" s="57"/>
    </row>
    <row r="1176" spans="8:12" x14ac:dyDescent="0.2">
      <c r="H1176" s="57"/>
      <c r="J1176" s="48"/>
      <c r="K1176" s="64"/>
      <c r="L1176" s="57"/>
    </row>
    <row r="1177" spans="8:12" x14ac:dyDescent="0.2">
      <c r="H1177" s="57"/>
      <c r="J1177" s="48"/>
      <c r="K1177" s="64"/>
      <c r="L1177" s="57"/>
    </row>
    <row r="1178" spans="8:12" x14ac:dyDescent="0.2">
      <c r="H1178" s="57"/>
      <c r="J1178" s="48"/>
      <c r="K1178" s="64"/>
      <c r="L1178" s="57"/>
    </row>
    <row r="1179" spans="8:12" x14ac:dyDescent="0.2">
      <c r="H1179" s="57"/>
      <c r="J1179" s="48"/>
      <c r="K1179" s="64"/>
      <c r="L1179" s="57"/>
    </row>
    <row r="1180" spans="8:12" x14ac:dyDescent="0.2">
      <c r="H1180" s="57"/>
      <c r="J1180" s="48"/>
      <c r="K1180" s="64"/>
      <c r="L1180" s="57"/>
    </row>
    <row r="1181" spans="8:12" x14ac:dyDescent="0.2">
      <c r="H1181" s="57"/>
      <c r="J1181" s="48"/>
      <c r="K1181" s="64"/>
      <c r="L1181" s="57"/>
    </row>
    <row r="1182" spans="8:12" x14ac:dyDescent="0.2">
      <c r="H1182" s="57"/>
      <c r="J1182" s="48"/>
      <c r="K1182" s="64"/>
      <c r="L1182" s="57"/>
    </row>
    <row r="1183" spans="8:12" x14ac:dyDescent="0.2">
      <c r="H1183" s="57"/>
      <c r="J1183" s="48"/>
      <c r="K1183" s="64"/>
      <c r="L1183" s="57"/>
    </row>
    <row r="1184" spans="8:12" x14ac:dyDescent="0.2">
      <c r="H1184" s="57"/>
      <c r="J1184" s="48"/>
      <c r="K1184" s="64"/>
      <c r="L1184" s="57"/>
    </row>
    <row r="1185" spans="8:12" x14ac:dyDescent="0.2">
      <c r="H1185" s="57"/>
      <c r="J1185" s="48"/>
      <c r="K1185" s="64"/>
      <c r="L1185" s="57"/>
    </row>
    <row r="1186" spans="8:12" x14ac:dyDescent="0.2">
      <c r="H1186" s="57"/>
      <c r="J1186" s="48"/>
      <c r="K1186" s="64"/>
      <c r="L1186" s="57"/>
    </row>
    <row r="1187" spans="8:12" x14ac:dyDescent="0.2">
      <c r="H1187" s="57"/>
      <c r="J1187" s="48"/>
      <c r="K1187" s="64"/>
      <c r="L1187" s="57"/>
    </row>
    <row r="1188" spans="8:12" x14ac:dyDescent="0.2">
      <c r="H1188" s="57"/>
      <c r="J1188" s="48"/>
      <c r="K1188" s="64"/>
      <c r="L1188" s="57"/>
    </row>
    <row r="1189" spans="8:12" x14ac:dyDescent="0.2">
      <c r="H1189" s="57"/>
      <c r="J1189" s="48"/>
      <c r="K1189" s="64"/>
      <c r="L1189" s="57"/>
    </row>
    <row r="1190" spans="8:12" x14ac:dyDescent="0.2">
      <c r="H1190" s="57"/>
      <c r="J1190" s="48"/>
      <c r="K1190" s="64"/>
      <c r="L1190" s="57"/>
    </row>
    <row r="1191" spans="8:12" x14ac:dyDescent="0.2">
      <c r="H1191" s="57"/>
      <c r="J1191" s="48"/>
      <c r="K1191" s="64"/>
      <c r="L1191" s="57"/>
    </row>
    <row r="1192" spans="8:12" x14ac:dyDescent="0.2">
      <c r="H1192" s="57"/>
      <c r="J1192" s="48"/>
      <c r="K1192" s="64"/>
      <c r="L1192" s="57"/>
    </row>
    <row r="1193" spans="8:12" x14ac:dyDescent="0.2">
      <c r="H1193" s="57"/>
      <c r="J1193" s="48"/>
      <c r="K1193" s="64"/>
      <c r="L1193" s="57"/>
    </row>
    <row r="1194" spans="8:12" x14ac:dyDescent="0.2">
      <c r="H1194" s="57"/>
      <c r="J1194" s="48"/>
      <c r="K1194" s="64"/>
      <c r="L1194" s="57"/>
    </row>
    <row r="1195" spans="8:12" x14ac:dyDescent="0.2">
      <c r="H1195" s="57"/>
      <c r="J1195" s="48"/>
      <c r="K1195" s="64"/>
      <c r="L1195" s="57"/>
    </row>
    <row r="1196" spans="8:12" x14ac:dyDescent="0.2">
      <c r="H1196" s="57"/>
      <c r="J1196" s="48"/>
      <c r="K1196" s="64"/>
      <c r="L1196" s="57"/>
    </row>
    <row r="1197" spans="8:12" x14ac:dyDescent="0.2">
      <c r="H1197" s="57"/>
      <c r="J1197" s="48"/>
      <c r="K1197" s="64"/>
      <c r="L1197" s="57"/>
    </row>
    <row r="1198" spans="8:12" x14ac:dyDescent="0.2">
      <c r="H1198" s="57"/>
      <c r="J1198" s="48"/>
      <c r="K1198" s="64"/>
      <c r="L1198" s="57"/>
    </row>
    <row r="1199" spans="8:12" x14ac:dyDescent="0.2">
      <c r="H1199" s="57"/>
      <c r="J1199" s="48"/>
      <c r="K1199" s="64"/>
      <c r="L1199" s="57"/>
    </row>
    <row r="1200" spans="8:12" x14ac:dyDescent="0.2">
      <c r="H1200" s="57"/>
      <c r="J1200" s="48"/>
      <c r="K1200" s="64"/>
      <c r="L1200" s="57"/>
    </row>
    <row r="1201" spans="8:12" x14ac:dyDescent="0.2">
      <c r="H1201" s="57"/>
      <c r="J1201" s="48"/>
      <c r="K1201" s="64"/>
      <c r="L1201" s="57"/>
    </row>
    <row r="1202" spans="8:12" x14ac:dyDescent="0.2">
      <c r="H1202" s="57"/>
      <c r="J1202" s="48"/>
      <c r="K1202" s="64"/>
      <c r="L1202" s="57"/>
    </row>
    <row r="1203" spans="8:12" x14ac:dyDescent="0.2">
      <c r="H1203" s="57"/>
      <c r="J1203" s="48"/>
      <c r="K1203" s="64"/>
      <c r="L1203" s="57"/>
    </row>
    <row r="1204" spans="8:12" x14ac:dyDescent="0.2">
      <c r="H1204" s="57"/>
      <c r="J1204" s="48"/>
      <c r="K1204" s="64"/>
      <c r="L1204" s="57"/>
    </row>
    <row r="1205" spans="8:12" x14ac:dyDescent="0.2">
      <c r="H1205" s="57"/>
      <c r="J1205" s="48"/>
      <c r="K1205" s="64"/>
      <c r="L1205" s="57"/>
    </row>
    <row r="1206" spans="8:12" x14ac:dyDescent="0.2">
      <c r="H1206" s="57"/>
      <c r="J1206" s="48"/>
      <c r="K1206" s="64"/>
      <c r="L1206" s="57"/>
    </row>
    <row r="1207" spans="8:12" x14ac:dyDescent="0.2">
      <c r="H1207" s="57"/>
      <c r="J1207" s="48"/>
      <c r="K1207" s="64"/>
      <c r="L1207" s="57"/>
    </row>
    <row r="1208" spans="8:12" x14ac:dyDescent="0.2">
      <c r="H1208" s="57"/>
      <c r="J1208" s="48"/>
      <c r="K1208" s="64"/>
      <c r="L1208" s="57"/>
    </row>
    <row r="1209" spans="8:12" x14ac:dyDescent="0.2">
      <c r="H1209" s="57"/>
      <c r="J1209" s="48"/>
      <c r="K1209" s="64"/>
      <c r="L1209" s="57"/>
    </row>
    <row r="1210" spans="8:12" x14ac:dyDescent="0.2">
      <c r="H1210" s="57"/>
      <c r="J1210" s="48"/>
      <c r="K1210" s="64"/>
      <c r="L1210" s="57"/>
    </row>
    <row r="1211" spans="8:12" x14ac:dyDescent="0.2">
      <c r="H1211" s="57"/>
      <c r="J1211" s="48"/>
      <c r="K1211" s="64"/>
      <c r="L1211" s="57"/>
    </row>
    <row r="1212" spans="8:12" x14ac:dyDescent="0.2">
      <c r="H1212" s="57"/>
      <c r="J1212" s="48"/>
      <c r="K1212" s="64"/>
      <c r="L1212" s="57"/>
    </row>
    <row r="1213" spans="8:12" x14ac:dyDescent="0.2">
      <c r="H1213" s="57"/>
      <c r="J1213" s="48"/>
      <c r="K1213" s="64"/>
      <c r="L1213" s="57"/>
    </row>
    <row r="1214" spans="8:12" x14ac:dyDescent="0.2">
      <c r="H1214" s="57"/>
      <c r="J1214" s="48"/>
      <c r="K1214" s="64"/>
      <c r="L1214" s="57"/>
    </row>
    <row r="1215" spans="8:12" x14ac:dyDescent="0.2">
      <c r="H1215" s="57"/>
      <c r="J1215" s="48"/>
      <c r="K1215" s="64"/>
      <c r="L1215" s="57"/>
    </row>
    <row r="1216" spans="8:12" x14ac:dyDescent="0.2">
      <c r="H1216" s="57"/>
      <c r="J1216" s="48"/>
      <c r="K1216" s="64"/>
      <c r="L1216" s="57"/>
    </row>
    <row r="1217" spans="8:12" x14ac:dyDescent="0.2">
      <c r="H1217" s="57"/>
      <c r="J1217" s="48"/>
      <c r="K1217" s="64"/>
      <c r="L1217" s="57"/>
    </row>
    <row r="1218" spans="8:12" x14ac:dyDescent="0.2">
      <c r="H1218" s="57"/>
      <c r="J1218" s="48"/>
      <c r="K1218" s="64"/>
      <c r="L1218" s="57"/>
    </row>
    <row r="1219" spans="8:12" x14ac:dyDescent="0.2">
      <c r="H1219" s="57"/>
      <c r="J1219" s="48"/>
      <c r="K1219" s="64"/>
      <c r="L1219" s="57"/>
    </row>
    <row r="1220" spans="8:12" x14ac:dyDescent="0.2">
      <c r="H1220" s="57"/>
      <c r="J1220" s="48"/>
      <c r="K1220" s="64"/>
      <c r="L1220" s="57"/>
    </row>
    <row r="1221" spans="8:12" x14ac:dyDescent="0.2">
      <c r="H1221" s="57"/>
      <c r="J1221" s="48"/>
      <c r="K1221" s="64"/>
      <c r="L1221" s="57"/>
    </row>
    <row r="1222" spans="8:12" x14ac:dyDescent="0.2">
      <c r="H1222" s="57"/>
      <c r="J1222" s="48"/>
      <c r="K1222" s="64"/>
      <c r="L1222" s="57"/>
    </row>
    <row r="1223" spans="8:12" x14ac:dyDescent="0.2">
      <c r="H1223" s="57"/>
      <c r="J1223" s="48"/>
      <c r="K1223" s="64"/>
      <c r="L1223" s="57"/>
    </row>
    <row r="1224" spans="8:12" x14ac:dyDescent="0.2">
      <c r="H1224" s="57"/>
      <c r="J1224" s="48"/>
      <c r="K1224" s="64"/>
      <c r="L1224" s="57"/>
    </row>
    <row r="1225" spans="8:12" x14ac:dyDescent="0.2">
      <c r="H1225" s="57"/>
      <c r="J1225" s="48"/>
      <c r="K1225" s="64"/>
      <c r="L1225" s="57"/>
    </row>
    <row r="1226" spans="8:12" x14ac:dyDescent="0.2">
      <c r="H1226" s="57"/>
      <c r="J1226" s="48"/>
      <c r="K1226" s="64"/>
      <c r="L1226" s="57"/>
    </row>
    <row r="1227" spans="8:12" x14ac:dyDescent="0.2">
      <c r="H1227" s="57"/>
      <c r="J1227" s="48"/>
      <c r="K1227" s="64"/>
      <c r="L1227" s="57"/>
    </row>
    <row r="1228" spans="8:12" x14ac:dyDescent="0.2">
      <c r="H1228" s="57"/>
      <c r="J1228" s="48"/>
      <c r="K1228" s="64"/>
      <c r="L1228" s="57"/>
    </row>
    <row r="1229" spans="8:12" x14ac:dyDescent="0.2">
      <c r="H1229" s="57"/>
      <c r="J1229" s="48"/>
      <c r="K1229" s="64"/>
      <c r="L1229" s="57"/>
    </row>
    <row r="1230" spans="8:12" x14ac:dyDescent="0.2">
      <c r="H1230" s="57"/>
      <c r="J1230" s="48"/>
      <c r="K1230" s="64"/>
      <c r="L1230" s="57"/>
    </row>
    <row r="1231" spans="8:12" x14ac:dyDescent="0.2">
      <c r="H1231" s="57"/>
      <c r="J1231" s="48"/>
      <c r="K1231" s="64"/>
      <c r="L1231" s="57"/>
    </row>
    <row r="1232" spans="8:12" x14ac:dyDescent="0.2">
      <c r="H1232" s="57"/>
      <c r="J1232" s="48"/>
      <c r="K1232" s="64"/>
      <c r="L1232" s="57"/>
    </row>
    <row r="1233" spans="8:12" x14ac:dyDescent="0.2">
      <c r="H1233" s="57"/>
      <c r="J1233" s="48"/>
      <c r="K1233" s="64"/>
      <c r="L1233" s="57"/>
    </row>
    <row r="1234" spans="8:12" x14ac:dyDescent="0.2">
      <c r="H1234" s="57"/>
      <c r="J1234" s="48"/>
      <c r="K1234" s="64"/>
      <c r="L1234" s="57"/>
    </row>
    <row r="1235" spans="8:12" x14ac:dyDescent="0.2">
      <c r="H1235" s="57"/>
      <c r="J1235" s="48"/>
      <c r="K1235" s="64"/>
      <c r="L1235" s="57"/>
    </row>
    <row r="1236" spans="8:12" x14ac:dyDescent="0.2">
      <c r="H1236" s="57"/>
      <c r="J1236" s="48"/>
      <c r="K1236" s="64"/>
      <c r="L1236" s="57"/>
    </row>
    <row r="1237" spans="8:12" x14ac:dyDescent="0.2">
      <c r="H1237" s="57"/>
      <c r="J1237" s="48"/>
      <c r="K1237" s="64"/>
      <c r="L1237" s="57"/>
    </row>
    <row r="1238" spans="8:12" x14ac:dyDescent="0.2">
      <c r="H1238" s="57"/>
      <c r="J1238" s="48"/>
      <c r="K1238" s="64"/>
      <c r="L1238" s="57"/>
    </row>
    <row r="1239" spans="8:12" x14ac:dyDescent="0.2">
      <c r="H1239" s="57"/>
      <c r="J1239" s="48"/>
      <c r="K1239" s="64"/>
      <c r="L1239" s="57"/>
    </row>
    <row r="1240" spans="8:12" x14ac:dyDescent="0.2">
      <c r="H1240" s="57"/>
      <c r="J1240" s="48"/>
      <c r="K1240" s="64"/>
      <c r="L1240" s="57"/>
    </row>
    <row r="1241" spans="8:12" x14ac:dyDescent="0.2">
      <c r="H1241" s="57"/>
      <c r="J1241" s="48"/>
      <c r="K1241" s="64"/>
      <c r="L1241" s="57"/>
    </row>
    <row r="1242" spans="8:12" x14ac:dyDescent="0.2">
      <c r="H1242" s="57"/>
      <c r="J1242" s="48"/>
      <c r="K1242" s="64"/>
      <c r="L1242" s="57"/>
    </row>
    <row r="1243" spans="8:12" x14ac:dyDescent="0.2">
      <c r="H1243" s="57"/>
      <c r="J1243" s="48"/>
      <c r="K1243" s="64"/>
      <c r="L1243" s="57"/>
    </row>
    <row r="1244" spans="8:12" x14ac:dyDescent="0.2">
      <c r="H1244" s="57"/>
      <c r="J1244" s="48"/>
      <c r="K1244" s="64"/>
      <c r="L1244" s="57"/>
    </row>
    <row r="1245" spans="8:12" x14ac:dyDescent="0.2">
      <c r="H1245" s="57"/>
      <c r="J1245" s="48"/>
      <c r="K1245" s="64"/>
      <c r="L1245" s="57"/>
    </row>
    <row r="1246" spans="8:12" x14ac:dyDescent="0.2">
      <c r="H1246" s="57"/>
      <c r="J1246" s="48"/>
      <c r="K1246" s="64"/>
      <c r="L1246" s="57"/>
    </row>
    <row r="1247" spans="8:12" x14ac:dyDescent="0.2">
      <c r="H1247" s="57"/>
      <c r="J1247" s="48"/>
      <c r="K1247" s="64"/>
      <c r="L1247" s="57"/>
    </row>
    <row r="1248" spans="8:12" x14ac:dyDescent="0.2">
      <c r="H1248" s="57"/>
      <c r="J1248" s="48"/>
      <c r="K1248" s="64"/>
      <c r="L1248" s="57"/>
    </row>
    <row r="1249" spans="8:12" x14ac:dyDescent="0.2">
      <c r="H1249" s="57"/>
      <c r="J1249" s="48"/>
      <c r="K1249" s="64"/>
      <c r="L1249" s="57"/>
    </row>
    <row r="1250" spans="8:12" x14ac:dyDescent="0.2">
      <c r="H1250" s="57"/>
      <c r="J1250" s="48"/>
      <c r="K1250" s="64"/>
      <c r="L1250" s="57"/>
    </row>
    <row r="1251" spans="8:12" x14ac:dyDescent="0.2">
      <c r="H1251" s="57"/>
      <c r="J1251" s="48"/>
      <c r="K1251" s="64"/>
      <c r="L1251" s="57"/>
    </row>
    <row r="1252" spans="8:12" x14ac:dyDescent="0.2">
      <c r="H1252" s="57"/>
      <c r="J1252" s="48"/>
      <c r="K1252" s="64"/>
      <c r="L1252" s="57"/>
    </row>
    <row r="1253" spans="8:12" x14ac:dyDescent="0.2">
      <c r="H1253" s="57"/>
      <c r="J1253" s="48"/>
      <c r="K1253" s="64"/>
      <c r="L1253" s="57"/>
    </row>
    <row r="1254" spans="8:12" x14ac:dyDescent="0.2">
      <c r="H1254" s="57"/>
      <c r="J1254" s="48"/>
      <c r="K1254" s="64"/>
      <c r="L1254" s="57"/>
    </row>
    <row r="1255" spans="8:12" x14ac:dyDescent="0.2">
      <c r="H1255" s="57"/>
      <c r="J1255" s="48"/>
      <c r="K1255" s="64"/>
      <c r="L1255" s="57"/>
    </row>
    <row r="1256" spans="8:12" x14ac:dyDescent="0.2">
      <c r="H1256" s="57"/>
      <c r="J1256" s="48"/>
      <c r="K1256" s="64"/>
      <c r="L1256" s="57"/>
    </row>
    <row r="1257" spans="8:12" x14ac:dyDescent="0.2">
      <c r="H1257" s="57"/>
      <c r="J1257" s="48"/>
      <c r="K1257" s="64"/>
      <c r="L1257" s="57"/>
    </row>
    <row r="1258" spans="8:12" x14ac:dyDescent="0.2">
      <c r="H1258" s="57"/>
      <c r="J1258" s="48"/>
      <c r="K1258" s="64"/>
      <c r="L1258" s="57"/>
    </row>
    <row r="1259" spans="8:12" x14ac:dyDescent="0.2">
      <c r="H1259" s="57"/>
      <c r="J1259" s="48"/>
      <c r="K1259" s="64"/>
      <c r="L1259" s="57"/>
    </row>
    <row r="1260" spans="8:12" x14ac:dyDescent="0.2">
      <c r="H1260" s="57"/>
      <c r="J1260" s="48"/>
      <c r="K1260" s="64"/>
      <c r="L1260" s="57"/>
    </row>
    <row r="1261" spans="8:12" x14ac:dyDescent="0.2">
      <c r="H1261" s="57"/>
      <c r="J1261" s="48"/>
      <c r="K1261" s="64"/>
      <c r="L1261" s="57"/>
    </row>
    <row r="1262" spans="8:12" x14ac:dyDescent="0.2">
      <c r="H1262" s="57"/>
      <c r="J1262" s="48"/>
      <c r="K1262" s="64"/>
      <c r="L1262" s="57"/>
    </row>
    <row r="1263" spans="8:12" x14ac:dyDescent="0.2">
      <c r="H1263" s="57"/>
      <c r="J1263" s="48"/>
      <c r="K1263" s="64"/>
      <c r="L1263" s="57"/>
    </row>
    <row r="1264" spans="8:12" x14ac:dyDescent="0.2">
      <c r="H1264" s="57"/>
      <c r="J1264" s="48"/>
      <c r="K1264" s="64"/>
      <c r="L1264" s="57"/>
    </row>
    <row r="1265" spans="8:12" x14ac:dyDescent="0.2">
      <c r="H1265" s="57"/>
      <c r="J1265" s="48"/>
      <c r="K1265" s="64"/>
      <c r="L1265" s="57"/>
    </row>
    <row r="1266" spans="8:12" x14ac:dyDescent="0.2">
      <c r="H1266" s="57"/>
      <c r="J1266" s="48"/>
      <c r="K1266" s="64"/>
      <c r="L1266" s="57"/>
    </row>
    <row r="1267" spans="8:12" x14ac:dyDescent="0.2">
      <c r="H1267" s="57"/>
      <c r="J1267" s="48"/>
      <c r="K1267" s="64"/>
      <c r="L1267" s="57"/>
    </row>
    <row r="1268" spans="8:12" x14ac:dyDescent="0.2">
      <c r="H1268" s="57"/>
      <c r="J1268" s="48"/>
      <c r="K1268" s="64"/>
      <c r="L1268" s="57"/>
    </row>
    <row r="1269" spans="8:12" x14ac:dyDescent="0.2">
      <c r="H1269" s="57"/>
      <c r="J1269" s="48"/>
      <c r="K1269" s="64"/>
      <c r="L1269" s="57"/>
    </row>
    <row r="1270" spans="8:12" x14ac:dyDescent="0.2">
      <c r="H1270" s="57"/>
      <c r="J1270" s="48"/>
      <c r="K1270" s="64"/>
      <c r="L1270" s="57"/>
    </row>
    <row r="1271" spans="8:12" x14ac:dyDescent="0.2">
      <c r="H1271" s="57"/>
      <c r="J1271" s="48"/>
      <c r="K1271" s="64"/>
      <c r="L1271" s="57"/>
    </row>
    <row r="1272" spans="8:12" x14ac:dyDescent="0.2">
      <c r="H1272" s="57"/>
      <c r="J1272" s="48"/>
      <c r="K1272" s="64"/>
      <c r="L1272" s="57"/>
    </row>
    <row r="1273" spans="8:12" x14ac:dyDescent="0.2">
      <c r="H1273" s="57"/>
      <c r="J1273" s="48"/>
      <c r="K1273" s="64"/>
      <c r="L1273" s="57"/>
    </row>
    <row r="1274" spans="8:12" x14ac:dyDescent="0.2">
      <c r="H1274" s="57"/>
      <c r="J1274" s="48"/>
      <c r="K1274" s="64"/>
      <c r="L1274" s="57"/>
    </row>
    <row r="1275" spans="8:12" x14ac:dyDescent="0.2">
      <c r="H1275" s="57"/>
      <c r="J1275" s="48"/>
      <c r="K1275" s="64"/>
      <c r="L1275" s="57"/>
    </row>
    <row r="1276" spans="8:12" x14ac:dyDescent="0.2">
      <c r="H1276" s="57"/>
      <c r="J1276" s="48"/>
      <c r="K1276" s="64"/>
      <c r="L1276" s="57"/>
    </row>
    <row r="1277" spans="8:12" x14ac:dyDescent="0.2">
      <c r="H1277" s="57"/>
      <c r="J1277" s="48"/>
      <c r="K1277" s="64"/>
      <c r="L1277" s="57"/>
    </row>
    <row r="1278" spans="8:12" x14ac:dyDescent="0.2">
      <c r="H1278" s="57"/>
      <c r="J1278" s="48"/>
      <c r="K1278" s="64"/>
      <c r="L1278" s="57"/>
    </row>
    <row r="1279" spans="8:12" x14ac:dyDescent="0.2">
      <c r="H1279" s="57"/>
      <c r="J1279" s="48"/>
      <c r="K1279" s="64"/>
      <c r="L1279" s="57"/>
    </row>
    <row r="1280" spans="8:12" x14ac:dyDescent="0.2">
      <c r="H1280" s="57"/>
      <c r="J1280" s="48"/>
      <c r="K1280" s="64"/>
      <c r="L1280" s="57"/>
    </row>
    <row r="1281" spans="8:12" x14ac:dyDescent="0.2">
      <c r="H1281" s="57"/>
      <c r="J1281" s="48"/>
      <c r="K1281" s="64"/>
      <c r="L1281" s="57"/>
    </row>
    <row r="1282" spans="8:12" x14ac:dyDescent="0.2">
      <c r="H1282" s="57"/>
      <c r="J1282" s="48"/>
      <c r="K1282" s="64"/>
      <c r="L1282" s="57"/>
    </row>
    <row r="1283" spans="8:12" x14ac:dyDescent="0.2">
      <c r="H1283" s="57"/>
      <c r="J1283" s="48"/>
      <c r="K1283" s="64"/>
      <c r="L1283" s="57"/>
    </row>
    <row r="1284" spans="8:12" x14ac:dyDescent="0.2">
      <c r="H1284" s="57"/>
      <c r="J1284" s="48"/>
      <c r="K1284" s="64"/>
      <c r="L1284" s="57"/>
    </row>
    <row r="1285" spans="8:12" x14ac:dyDescent="0.2">
      <c r="H1285" s="57"/>
      <c r="J1285" s="48"/>
      <c r="K1285" s="64"/>
      <c r="L1285" s="57"/>
    </row>
    <row r="1286" spans="8:12" x14ac:dyDescent="0.2">
      <c r="H1286" s="57"/>
      <c r="J1286" s="48"/>
      <c r="K1286" s="64"/>
      <c r="L1286" s="57"/>
    </row>
    <row r="1287" spans="8:12" x14ac:dyDescent="0.2">
      <c r="H1287" s="57"/>
      <c r="J1287" s="48"/>
      <c r="K1287" s="64"/>
      <c r="L1287" s="57"/>
    </row>
    <row r="1288" spans="8:12" x14ac:dyDescent="0.2">
      <c r="H1288" s="57"/>
      <c r="J1288" s="48"/>
      <c r="K1288" s="64"/>
      <c r="L1288" s="57"/>
    </row>
    <row r="1289" spans="8:12" x14ac:dyDescent="0.2">
      <c r="H1289" s="57"/>
      <c r="J1289" s="48"/>
      <c r="K1289" s="64"/>
      <c r="L1289" s="57"/>
    </row>
    <row r="1290" spans="8:12" x14ac:dyDescent="0.2">
      <c r="H1290" s="57"/>
      <c r="J1290" s="48"/>
      <c r="K1290" s="64"/>
      <c r="L1290" s="57"/>
    </row>
    <row r="1291" spans="8:12" x14ac:dyDescent="0.2">
      <c r="H1291" s="57"/>
      <c r="J1291" s="48"/>
      <c r="K1291" s="64"/>
      <c r="L1291" s="57"/>
    </row>
    <row r="1292" spans="8:12" x14ac:dyDescent="0.2">
      <c r="H1292" s="57"/>
      <c r="J1292" s="48"/>
      <c r="K1292" s="64"/>
      <c r="L1292" s="57"/>
    </row>
    <row r="1293" spans="8:12" x14ac:dyDescent="0.2">
      <c r="H1293" s="57"/>
      <c r="J1293" s="48"/>
      <c r="K1293" s="64"/>
      <c r="L1293" s="57"/>
    </row>
    <row r="1294" spans="8:12" x14ac:dyDescent="0.2">
      <c r="H1294" s="57"/>
      <c r="J1294" s="48"/>
      <c r="K1294" s="64"/>
      <c r="L1294" s="57"/>
    </row>
    <row r="1295" spans="8:12" x14ac:dyDescent="0.2">
      <c r="H1295" s="57"/>
      <c r="J1295" s="48"/>
      <c r="K1295" s="64"/>
      <c r="L1295" s="57"/>
    </row>
    <row r="1296" spans="8:12" x14ac:dyDescent="0.2">
      <c r="H1296" s="57"/>
      <c r="J1296" s="48"/>
      <c r="K1296" s="64"/>
      <c r="L1296" s="57"/>
    </row>
    <row r="1297" spans="8:12" x14ac:dyDescent="0.2">
      <c r="H1297" s="57"/>
      <c r="J1297" s="48"/>
      <c r="K1297" s="64"/>
      <c r="L1297" s="57"/>
    </row>
    <row r="1298" spans="8:12" x14ac:dyDescent="0.2">
      <c r="H1298" s="57"/>
      <c r="J1298" s="48"/>
      <c r="K1298" s="64"/>
      <c r="L1298" s="57"/>
    </row>
    <row r="1299" spans="8:12" x14ac:dyDescent="0.2">
      <c r="H1299" s="57"/>
      <c r="J1299" s="48"/>
      <c r="K1299" s="64"/>
      <c r="L1299" s="57"/>
    </row>
    <row r="1300" spans="8:12" x14ac:dyDescent="0.2">
      <c r="H1300" s="57"/>
      <c r="J1300" s="48"/>
      <c r="K1300" s="64"/>
      <c r="L1300" s="57"/>
    </row>
    <row r="1301" spans="8:12" x14ac:dyDescent="0.2">
      <c r="H1301" s="57"/>
      <c r="J1301" s="48"/>
      <c r="K1301" s="64"/>
      <c r="L1301" s="57"/>
    </row>
    <row r="1302" spans="8:12" x14ac:dyDescent="0.2">
      <c r="H1302" s="57"/>
      <c r="J1302" s="48"/>
      <c r="K1302" s="64"/>
      <c r="L1302" s="57"/>
    </row>
    <row r="1303" spans="8:12" x14ac:dyDescent="0.2">
      <c r="H1303" s="57"/>
      <c r="J1303" s="48"/>
      <c r="K1303" s="64"/>
      <c r="L1303" s="57"/>
    </row>
    <row r="1304" spans="8:12" x14ac:dyDescent="0.2">
      <c r="H1304" s="57"/>
      <c r="J1304" s="48"/>
      <c r="K1304" s="64"/>
      <c r="L1304" s="57"/>
    </row>
    <row r="1305" spans="8:12" x14ac:dyDescent="0.2">
      <c r="H1305" s="57"/>
      <c r="J1305" s="48"/>
      <c r="K1305" s="64"/>
      <c r="L1305" s="57"/>
    </row>
    <row r="1306" spans="8:12" x14ac:dyDescent="0.2">
      <c r="H1306" s="57"/>
      <c r="J1306" s="48"/>
      <c r="K1306" s="64"/>
      <c r="L1306" s="57"/>
    </row>
    <row r="1307" spans="8:12" x14ac:dyDescent="0.2">
      <c r="H1307" s="57"/>
      <c r="J1307" s="48"/>
      <c r="K1307" s="64"/>
      <c r="L1307" s="57"/>
    </row>
    <row r="1308" spans="8:12" x14ac:dyDescent="0.2">
      <c r="H1308" s="57"/>
      <c r="J1308" s="48"/>
      <c r="K1308" s="64"/>
      <c r="L1308" s="57"/>
    </row>
    <row r="1309" spans="8:12" x14ac:dyDescent="0.2">
      <c r="H1309" s="57"/>
      <c r="J1309" s="48"/>
      <c r="K1309" s="64"/>
      <c r="L1309" s="57"/>
    </row>
    <row r="1310" spans="8:12" x14ac:dyDescent="0.2">
      <c r="H1310" s="57"/>
      <c r="J1310" s="48"/>
      <c r="K1310" s="64"/>
      <c r="L1310" s="57"/>
    </row>
    <row r="1311" spans="8:12" x14ac:dyDescent="0.2">
      <c r="H1311" s="57"/>
      <c r="J1311" s="48"/>
      <c r="K1311" s="64"/>
      <c r="L1311" s="57"/>
    </row>
    <row r="1312" spans="8:12" x14ac:dyDescent="0.2">
      <c r="H1312" s="57"/>
      <c r="J1312" s="48"/>
      <c r="K1312" s="64"/>
      <c r="L1312" s="57"/>
    </row>
    <row r="1313" spans="8:12" x14ac:dyDescent="0.2">
      <c r="H1313" s="57"/>
      <c r="J1313" s="48"/>
      <c r="K1313" s="64"/>
      <c r="L1313" s="57"/>
    </row>
    <row r="1314" spans="8:12" x14ac:dyDescent="0.2">
      <c r="H1314" s="57"/>
      <c r="J1314" s="48"/>
      <c r="K1314" s="64"/>
      <c r="L1314" s="57"/>
    </row>
    <row r="1315" spans="8:12" x14ac:dyDescent="0.2">
      <c r="H1315" s="57"/>
      <c r="J1315" s="48"/>
      <c r="K1315" s="64"/>
      <c r="L1315" s="57"/>
    </row>
    <row r="1316" spans="8:12" x14ac:dyDescent="0.2">
      <c r="H1316" s="57"/>
      <c r="J1316" s="48"/>
      <c r="K1316" s="64"/>
      <c r="L1316" s="57"/>
    </row>
    <row r="1317" spans="8:12" x14ac:dyDescent="0.2">
      <c r="H1317" s="57"/>
      <c r="J1317" s="48"/>
      <c r="K1317" s="64"/>
      <c r="L1317" s="57"/>
    </row>
    <row r="1318" spans="8:12" x14ac:dyDescent="0.2">
      <c r="H1318" s="57"/>
      <c r="J1318" s="48"/>
      <c r="K1318" s="64"/>
      <c r="L1318" s="57"/>
    </row>
    <row r="1319" spans="8:12" x14ac:dyDescent="0.2">
      <c r="H1319" s="57"/>
      <c r="J1319" s="48"/>
      <c r="K1319" s="64"/>
      <c r="L1319" s="57"/>
    </row>
    <row r="1320" spans="8:12" x14ac:dyDescent="0.2">
      <c r="H1320" s="57"/>
      <c r="J1320" s="48"/>
      <c r="K1320" s="64"/>
      <c r="L1320" s="57"/>
    </row>
    <row r="1321" spans="8:12" x14ac:dyDescent="0.2">
      <c r="H1321" s="57"/>
      <c r="J1321" s="48"/>
      <c r="K1321" s="64"/>
      <c r="L1321" s="57"/>
    </row>
    <row r="1322" spans="8:12" x14ac:dyDescent="0.2">
      <c r="H1322" s="57"/>
      <c r="J1322" s="48"/>
      <c r="K1322" s="64"/>
      <c r="L1322" s="57"/>
    </row>
    <row r="1323" spans="8:12" x14ac:dyDescent="0.2">
      <c r="H1323" s="57"/>
      <c r="J1323" s="48"/>
      <c r="K1323" s="64"/>
      <c r="L1323" s="57"/>
    </row>
    <row r="1324" spans="8:12" x14ac:dyDescent="0.2">
      <c r="H1324" s="57"/>
      <c r="J1324" s="48"/>
      <c r="K1324" s="64"/>
      <c r="L1324" s="57"/>
    </row>
    <row r="1325" spans="8:12" x14ac:dyDescent="0.2">
      <c r="H1325" s="57"/>
      <c r="J1325" s="48"/>
      <c r="K1325" s="64"/>
      <c r="L1325" s="57"/>
    </row>
    <row r="1326" spans="8:12" x14ac:dyDescent="0.2">
      <c r="H1326" s="57"/>
      <c r="J1326" s="48"/>
      <c r="K1326" s="64"/>
      <c r="L1326" s="57"/>
    </row>
    <row r="1327" spans="8:12" x14ac:dyDescent="0.2">
      <c r="H1327" s="57"/>
      <c r="J1327" s="48"/>
      <c r="K1327" s="64"/>
      <c r="L1327" s="57"/>
    </row>
    <row r="1328" spans="8:12" x14ac:dyDescent="0.2">
      <c r="H1328" s="57"/>
      <c r="J1328" s="48"/>
      <c r="K1328" s="64"/>
      <c r="L1328" s="57"/>
    </row>
    <row r="1329" spans="8:12" x14ac:dyDescent="0.2">
      <c r="H1329" s="57"/>
      <c r="J1329" s="48"/>
      <c r="K1329" s="64"/>
      <c r="L1329" s="57"/>
    </row>
    <row r="1330" spans="8:12" x14ac:dyDescent="0.2">
      <c r="H1330" s="57"/>
      <c r="J1330" s="48"/>
      <c r="K1330" s="64"/>
      <c r="L1330" s="57"/>
    </row>
    <row r="1331" spans="8:12" x14ac:dyDescent="0.2">
      <c r="H1331" s="57"/>
      <c r="J1331" s="48"/>
      <c r="K1331" s="64"/>
      <c r="L1331" s="57"/>
    </row>
    <row r="1332" spans="8:12" x14ac:dyDescent="0.2">
      <c r="H1332" s="57"/>
      <c r="J1332" s="48"/>
      <c r="K1332" s="64"/>
      <c r="L1332" s="57"/>
    </row>
    <row r="1333" spans="8:12" x14ac:dyDescent="0.2">
      <c r="H1333" s="57"/>
      <c r="J1333" s="48"/>
      <c r="K1333" s="64"/>
      <c r="L1333" s="57"/>
    </row>
    <row r="1334" spans="8:12" x14ac:dyDescent="0.2">
      <c r="H1334" s="57"/>
      <c r="J1334" s="48"/>
      <c r="K1334" s="64"/>
      <c r="L1334" s="57"/>
    </row>
    <row r="1335" spans="8:12" x14ac:dyDescent="0.2">
      <c r="H1335" s="57"/>
      <c r="J1335" s="48"/>
      <c r="K1335" s="64"/>
      <c r="L1335" s="57"/>
    </row>
    <row r="1336" spans="8:12" x14ac:dyDescent="0.2">
      <c r="H1336" s="57"/>
      <c r="J1336" s="48"/>
      <c r="K1336" s="64"/>
      <c r="L1336" s="57"/>
    </row>
    <row r="1337" spans="8:12" x14ac:dyDescent="0.2">
      <c r="H1337" s="57"/>
      <c r="J1337" s="48"/>
      <c r="K1337" s="64"/>
      <c r="L1337" s="57"/>
    </row>
    <row r="1338" spans="8:12" x14ac:dyDescent="0.2">
      <c r="H1338" s="57"/>
      <c r="J1338" s="48"/>
      <c r="K1338" s="64"/>
      <c r="L1338" s="57"/>
    </row>
    <row r="1339" spans="8:12" x14ac:dyDescent="0.2">
      <c r="H1339" s="57"/>
      <c r="J1339" s="48"/>
      <c r="K1339" s="64"/>
      <c r="L1339" s="57"/>
    </row>
    <row r="1340" spans="8:12" x14ac:dyDescent="0.2">
      <c r="H1340" s="57"/>
      <c r="J1340" s="48"/>
      <c r="K1340" s="64"/>
      <c r="L1340" s="57"/>
    </row>
    <row r="1341" spans="8:12" x14ac:dyDescent="0.2">
      <c r="H1341" s="57"/>
      <c r="J1341" s="48"/>
      <c r="K1341" s="64"/>
      <c r="L1341" s="57"/>
    </row>
    <row r="1342" spans="8:12" x14ac:dyDescent="0.2">
      <c r="H1342" s="57"/>
      <c r="J1342" s="48"/>
      <c r="K1342" s="64"/>
      <c r="L1342" s="57"/>
    </row>
    <row r="1343" spans="8:12" x14ac:dyDescent="0.2">
      <c r="H1343" s="57"/>
      <c r="J1343" s="48"/>
      <c r="K1343" s="64"/>
      <c r="L1343" s="57"/>
    </row>
    <row r="1344" spans="8:12" x14ac:dyDescent="0.2">
      <c r="H1344" s="57"/>
      <c r="J1344" s="48"/>
      <c r="K1344" s="64"/>
      <c r="L1344" s="57"/>
    </row>
    <row r="1345" spans="8:12" x14ac:dyDescent="0.2">
      <c r="H1345" s="57"/>
      <c r="J1345" s="48"/>
      <c r="K1345" s="64"/>
      <c r="L1345" s="57"/>
    </row>
    <row r="1346" spans="8:12" x14ac:dyDescent="0.2">
      <c r="H1346" s="57"/>
      <c r="J1346" s="48"/>
      <c r="K1346" s="64"/>
      <c r="L1346" s="57"/>
    </row>
    <row r="1347" spans="8:12" x14ac:dyDescent="0.2">
      <c r="H1347" s="57"/>
      <c r="J1347" s="48"/>
      <c r="K1347" s="64"/>
      <c r="L1347" s="57"/>
    </row>
    <row r="1348" spans="8:12" x14ac:dyDescent="0.2">
      <c r="H1348" s="57"/>
      <c r="J1348" s="48"/>
      <c r="K1348" s="64"/>
      <c r="L1348" s="57"/>
    </row>
    <row r="1349" spans="8:12" x14ac:dyDescent="0.2">
      <c r="H1349" s="57"/>
      <c r="J1349" s="48"/>
      <c r="K1349" s="64"/>
      <c r="L1349" s="57"/>
    </row>
    <row r="1350" spans="8:12" x14ac:dyDescent="0.2">
      <c r="H1350" s="57"/>
      <c r="J1350" s="48"/>
      <c r="K1350" s="64"/>
      <c r="L1350" s="57"/>
    </row>
    <row r="1351" spans="8:12" x14ac:dyDescent="0.2">
      <c r="H1351" s="57"/>
      <c r="J1351" s="48"/>
      <c r="K1351" s="64"/>
      <c r="L1351" s="57"/>
    </row>
    <row r="1352" spans="8:12" x14ac:dyDescent="0.2">
      <c r="H1352" s="57"/>
      <c r="J1352" s="48"/>
      <c r="K1352" s="64"/>
      <c r="L1352" s="57"/>
    </row>
    <row r="1353" spans="8:12" x14ac:dyDescent="0.2">
      <c r="H1353" s="57"/>
      <c r="J1353" s="48"/>
      <c r="K1353" s="64"/>
      <c r="L1353" s="57"/>
    </row>
    <row r="1354" spans="8:12" x14ac:dyDescent="0.2">
      <c r="H1354" s="57"/>
      <c r="J1354" s="48"/>
      <c r="K1354" s="64"/>
      <c r="L1354" s="57"/>
    </row>
    <row r="1355" spans="8:12" x14ac:dyDescent="0.2">
      <c r="H1355" s="57"/>
      <c r="J1355" s="48"/>
      <c r="K1355" s="64"/>
      <c r="L1355" s="57"/>
    </row>
    <row r="1356" spans="8:12" x14ac:dyDescent="0.2">
      <c r="H1356" s="57"/>
      <c r="J1356" s="48"/>
      <c r="K1356" s="64"/>
      <c r="L1356" s="57"/>
    </row>
    <row r="1357" spans="8:12" x14ac:dyDescent="0.2">
      <c r="H1357" s="57"/>
      <c r="J1357" s="48"/>
      <c r="K1357" s="64"/>
      <c r="L1357" s="57"/>
    </row>
    <row r="1358" spans="8:12" x14ac:dyDescent="0.2">
      <c r="H1358" s="57"/>
      <c r="J1358" s="48"/>
      <c r="K1358" s="64"/>
      <c r="L1358" s="57"/>
    </row>
    <row r="1359" spans="8:12" x14ac:dyDescent="0.2">
      <c r="H1359" s="57"/>
      <c r="J1359" s="48"/>
      <c r="K1359" s="64"/>
      <c r="L1359" s="57"/>
    </row>
    <row r="1360" spans="8:12" x14ac:dyDescent="0.2">
      <c r="H1360" s="57"/>
      <c r="J1360" s="48"/>
      <c r="K1360" s="64"/>
      <c r="L1360" s="57"/>
    </row>
    <row r="1361" spans="8:12" x14ac:dyDescent="0.2">
      <c r="H1361" s="57"/>
      <c r="J1361" s="48"/>
      <c r="K1361" s="64"/>
      <c r="L1361" s="57"/>
    </row>
    <row r="1362" spans="8:12" x14ac:dyDescent="0.2">
      <c r="H1362" s="57"/>
      <c r="J1362" s="48"/>
      <c r="K1362" s="64"/>
      <c r="L1362" s="57"/>
    </row>
    <row r="1363" spans="8:12" x14ac:dyDescent="0.2">
      <c r="H1363" s="57"/>
      <c r="J1363" s="48"/>
      <c r="K1363" s="64"/>
      <c r="L1363" s="57"/>
    </row>
    <row r="1364" spans="8:12" x14ac:dyDescent="0.2">
      <c r="H1364" s="57"/>
      <c r="J1364" s="48"/>
      <c r="K1364" s="64"/>
      <c r="L1364" s="57"/>
    </row>
    <row r="1365" spans="8:12" x14ac:dyDescent="0.2">
      <c r="H1365" s="57"/>
      <c r="J1365" s="48"/>
      <c r="K1365" s="64"/>
      <c r="L1365" s="57"/>
    </row>
    <row r="1366" spans="8:12" x14ac:dyDescent="0.2">
      <c r="H1366" s="57"/>
      <c r="J1366" s="48"/>
      <c r="K1366" s="64"/>
      <c r="L1366" s="57"/>
    </row>
    <row r="1367" spans="8:12" x14ac:dyDescent="0.2">
      <c r="H1367" s="57"/>
      <c r="J1367" s="48"/>
      <c r="K1367" s="64"/>
      <c r="L1367" s="57"/>
    </row>
    <row r="1368" spans="8:12" x14ac:dyDescent="0.2">
      <c r="H1368" s="57"/>
      <c r="J1368" s="48"/>
      <c r="K1368" s="64"/>
      <c r="L1368" s="57"/>
    </row>
    <row r="1369" spans="8:12" x14ac:dyDescent="0.2">
      <c r="H1369" s="57"/>
      <c r="J1369" s="48"/>
      <c r="K1369" s="64"/>
      <c r="L1369" s="57"/>
    </row>
    <row r="1370" spans="8:12" x14ac:dyDescent="0.2">
      <c r="H1370" s="57"/>
      <c r="J1370" s="48"/>
      <c r="K1370" s="64"/>
      <c r="L1370" s="57"/>
    </row>
    <row r="1371" spans="8:12" x14ac:dyDescent="0.2">
      <c r="H1371" s="57"/>
      <c r="J1371" s="48"/>
      <c r="K1371" s="64"/>
      <c r="L1371" s="57"/>
    </row>
    <row r="1372" spans="8:12" x14ac:dyDescent="0.2">
      <c r="H1372" s="57"/>
      <c r="J1372" s="48"/>
      <c r="K1372" s="64"/>
      <c r="L1372" s="57"/>
    </row>
    <row r="1373" spans="8:12" x14ac:dyDescent="0.2">
      <c r="H1373" s="57"/>
      <c r="J1373" s="48"/>
      <c r="K1373" s="64"/>
      <c r="L1373" s="57"/>
    </row>
    <row r="1374" spans="8:12" x14ac:dyDescent="0.2">
      <c r="H1374" s="57"/>
      <c r="J1374" s="48"/>
      <c r="K1374" s="64"/>
      <c r="L1374" s="57"/>
    </row>
    <row r="1375" spans="8:12" x14ac:dyDescent="0.2">
      <c r="H1375" s="57"/>
      <c r="J1375" s="48"/>
      <c r="K1375" s="64"/>
      <c r="L1375" s="57"/>
    </row>
    <row r="1376" spans="8:12" x14ac:dyDescent="0.2">
      <c r="H1376" s="57"/>
      <c r="J1376" s="48"/>
      <c r="K1376" s="64"/>
      <c r="L1376" s="57"/>
    </row>
    <row r="1377" spans="8:12" x14ac:dyDescent="0.2">
      <c r="H1377" s="57"/>
      <c r="J1377" s="48"/>
      <c r="K1377" s="64"/>
      <c r="L1377" s="57"/>
    </row>
    <row r="1378" spans="8:12" x14ac:dyDescent="0.2">
      <c r="H1378" s="57"/>
      <c r="J1378" s="48"/>
      <c r="K1378" s="64"/>
      <c r="L1378" s="57"/>
    </row>
    <row r="1379" spans="8:12" x14ac:dyDescent="0.2">
      <c r="H1379" s="57"/>
      <c r="J1379" s="48"/>
      <c r="K1379" s="64"/>
      <c r="L1379" s="57"/>
    </row>
    <row r="1380" spans="8:12" x14ac:dyDescent="0.2">
      <c r="H1380" s="57"/>
      <c r="J1380" s="48"/>
      <c r="K1380" s="64"/>
      <c r="L1380" s="57"/>
    </row>
    <row r="1381" spans="8:12" x14ac:dyDescent="0.2">
      <c r="H1381" s="57"/>
      <c r="J1381" s="48"/>
      <c r="K1381" s="64"/>
      <c r="L1381" s="57"/>
    </row>
    <row r="1382" spans="8:12" x14ac:dyDescent="0.2">
      <c r="H1382" s="57"/>
      <c r="J1382" s="48"/>
      <c r="K1382" s="64"/>
      <c r="L1382" s="57"/>
    </row>
    <row r="1383" spans="8:12" x14ac:dyDescent="0.2">
      <c r="H1383" s="57"/>
      <c r="J1383" s="48"/>
      <c r="K1383" s="64"/>
      <c r="L1383" s="57"/>
    </row>
    <row r="1384" spans="8:12" x14ac:dyDescent="0.2">
      <c r="H1384" s="57"/>
      <c r="J1384" s="48"/>
      <c r="K1384" s="64"/>
      <c r="L1384" s="57"/>
    </row>
    <row r="1385" spans="8:12" x14ac:dyDescent="0.2">
      <c r="H1385" s="57"/>
      <c r="J1385" s="48"/>
      <c r="K1385" s="64"/>
      <c r="L1385" s="57"/>
    </row>
    <row r="1386" spans="8:12" x14ac:dyDescent="0.2">
      <c r="H1386" s="57"/>
      <c r="J1386" s="48"/>
      <c r="K1386" s="64"/>
      <c r="L1386" s="57"/>
    </row>
    <row r="1387" spans="8:12" x14ac:dyDescent="0.2">
      <c r="H1387" s="57"/>
      <c r="J1387" s="48"/>
      <c r="K1387" s="64"/>
      <c r="L1387" s="57"/>
    </row>
    <row r="1388" spans="8:12" x14ac:dyDescent="0.2">
      <c r="H1388" s="57"/>
      <c r="J1388" s="48"/>
      <c r="K1388" s="64"/>
      <c r="L1388" s="57"/>
    </row>
    <row r="1389" spans="8:12" x14ac:dyDescent="0.2">
      <c r="H1389" s="57"/>
      <c r="J1389" s="48"/>
      <c r="K1389" s="64"/>
      <c r="L1389" s="57"/>
    </row>
    <row r="1390" spans="8:12" x14ac:dyDescent="0.2">
      <c r="H1390" s="57"/>
      <c r="J1390" s="48"/>
      <c r="K1390" s="64"/>
      <c r="L1390" s="57"/>
    </row>
    <row r="1391" spans="8:12" x14ac:dyDescent="0.2">
      <c r="H1391" s="57"/>
      <c r="J1391" s="48"/>
      <c r="K1391" s="64"/>
      <c r="L1391" s="57"/>
    </row>
    <row r="1392" spans="8:12" x14ac:dyDescent="0.2">
      <c r="H1392" s="57"/>
      <c r="J1392" s="48"/>
      <c r="K1392" s="64"/>
      <c r="L1392" s="57"/>
    </row>
    <row r="1393" spans="8:12" x14ac:dyDescent="0.2">
      <c r="H1393" s="57"/>
      <c r="J1393" s="48"/>
      <c r="K1393" s="64"/>
      <c r="L1393" s="57"/>
    </row>
    <row r="1394" spans="8:12" x14ac:dyDescent="0.2">
      <c r="H1394" s="57"/>
      <c r="J1394" s="48"/>
      <c r="K1394" s="64"/>
      <c r="L1394" s="57"/>
    </row>
    <row r="1395" spans="8:12" x14ac:dyDescent="0.2">
      <c r="H1395" s="57"/>
      <c r="J1395" s="48"/>
      <c r="K1395" s="64"/>
      <c r="L1395" s="57"/>
    </row>
    <row r="1396" spans="8:12" x14ac:dyDescent="0.2">
      <c r="H1396" s="57"/>
      <c r="J1396" s="48"/>
      <c r="K1396" s="64"/>
      <c r="L1396" s="57"/>
    </row>
    <row r="1397" spans="8:12" x14ac:dyDescent="0.2">
      <c r="H1397" s="57"/>
      <c r="J1397" s="48"/>
      <c r="K1397" s="64"/>
      <c r="L1397" s="57"/>
    </row>
    <row r="1398" spans="8:12" x14ac:dyDescent="0.2">
      <c r="H1398" s="57"/>
      <c r="J1398" s="48"/>
      <c r="K1398" s="64"/>
      <c r="L1398" s="57"/>
    </row>
    <row r="1399" spans="8:12" x14ac:dyDescent="0.2">
      <c r="H1399" s="57"/>
      <c r="J1399" s="48"/>
      <c r="K1399" s="64"/>
      <c r="L1399" s="57"/>
    </row>
    <row r="1400" spans="8:12" x14ac:dyDescent="0.2">
      <c r="H1400" s="57"/>
      <c r="J1400" s="48"/>
      <c r="K1400" s="64"/>
      <c r="L1400" s="57"/>
    </row>
    <row r="1401" spans="8:12" x14ac:dyDescent="0.2">
      <c r="H1401" s="57"/>
      <c r="J1401" s="48"/>
      <c r="K1401" s="64"/>
      <c r="L1401" s="57"/>
    </row>
    <row r="1402" spans="8:12" x14ac:dyDescent="0.2">
      <c r="H1402" s="57"/>
      <c r="J1402" s="48"/>
      <c r="K1402" s="64"/>
      <c r="L1402" s="57"/>
    </row>
    <row r="1403" spans="8:12" x14ac:dyDescent="0.2">
      <c r="H1403" s="57"/>
      <c r="J1403" s="48"/>
      <c r="K1403" s="64"/>
      <c r="L1403" s="57"/>
    </row>
    <row r="1404" spans="8:12" x14ac:dyDescent="0.2">
      <c r="H1404" s="57"/>
      <c r="J1404" s="48"/>
      <c r="K1404" s="64"/>
      <c r="L1404" s="57"/>
    </row>
    <row r="1405" spans="8:12" x14ac:dyDescent="0.2">
      <c r="H1405" s="57"/>
      <c r="J1405" s="48"/>
      <c r="K1405" s="64"/>
      <c r="L1405" s="57"/>
    </row>
    <row r="1406" spans="8:12" x14ac:dyDescent="0.2">
      <c r="H1406" s="57"/>
      <c r="J1406" s="48"/>
      <c r="K1406" s="64"/>
      <c r="L1406" s="57"/>
    </row>
    <row r="1407" spans="8:12" x14ac:dyDescent="0.2">
      <c r="H1407" s="57"/>
      <c r="J1407" s="48"/>
      <c r="K1407" s="64"/>
      <c r="L1407" s="57"/>
    </row>
    <row r="1408" spans="8:12" x14ac:dyDescent="0.2">
      <c r="H1408" s="57"/>
      <c r="J1408" s="48"/>
      <c r="K1408" s="64"/>
      <c r="L1408" s="57"/>
    </row>
    <row r="1409" spans="8:12" x14ac:dyDescent="0.2">
      <c r="H1409" s="57"/>
      <c r="J1409" s="48"/>
      <c r="K1409" s="64"/>
      <c r="L1409" s="57"/>
    </row>
    <row r="1410" spans="8:12" x14ac:dyDescent="0.2">
      <c r="H1410" s="57"/>
      <c r="J1410" s="48"/>
      <c r="K1410" s="64"/>
      <c r="L1410" s="57"/>
    </row>
    <row r="1411" spans="8:12" x14ac:dyDescent="0.2">
      <c r="H1411" s="57"/>
      <c r="J1411" s="48"/>
      <c r="K1411" s="64"/>
      <c r="L1411" s="57"/>
    </row>
    <row r="1412" spans="8:12" x14ac:dyDescent="0.2">
      <c r="H1412" s="57"/>
      <c r="J1412" s="48"/>
      <c r="K1412" s="64"/>
      <c r="L1412" s="57"/>
    </row>
    <row r="1413" spans="8:12" x14ac:dyDescent="0.2">
      <c r="H1413" s="57"/>
      <c r="J1413" s="48"/>
      <c r="K1413" s="64"/>
      <c r="L1413" s="57"/>
    </row>
    <row r="1414" spans="8:12" x14ac:dyDescent="0.2">
      <c r="H1414" s="57"/>
      <c r="J1414" s="48"/>
      <c r="K1414" s="64"/>
      <c r="L1414" s="57"/>
    </row>
    <row r="1415" spans="8:12" x14ac:dyDescent="0.2">
      <c r="H1415" s="57"/>
      <c r="J1415" s="48"/>
      <c r="K1415" s="64"/>
      <c r="L1415" s="57"/>
    </row>
    <row r="1416" spans="8:12" x14ac:dyDescent="0.2">
      <c r="H1416" s="57"/>
      <c r="J1416" s="48"/>
      <c r="K1416" s="64"/>
      <c r="L1416" s="57"/>
    </row>
    <row r="1417" spans="8:12" x14ac:dyDescent="0.2">
      <c r="H1417" s="57"/>
      <c r="J1417" s="48"/>
      <c r="K1417" s="64"/>
      <c r="L1417" s="57"/>
    </row>
    <row r="1418" spans="8:12" x14ac:dyDescent="0.2">
      <c r="H1418" s="57"/>
      <c r="J1418" s="48"/>
      <c r="K1418" s="64"/>
      <c r="L1418" s="57"/>
    </row>
    <row r="1419" spans="8:12" x14ac:dyDescent="0.2">
      <c r="H1419" s="57"/>
      <c r="J1419" s="48"/>
      <c r="K1419" s="64"/>
      <c r="L1419" s="57"/>
    </row>
    <row r="1420" spans="8:12" x14ac:dyDescent="0.2">
      <c r="H1420" s="57"/>
      <c r="J1420" s="48"/>
      <c r="K1420" s="64"/>
      <c r="L1420" s="57"/>
    </row>
    <row r="1421" spans="8:12" x14ac:dyDescent="0.2">
      <c r="H1421" s="57"/>
      <c r="J1421" s="48"/>
      <c r="K1421" s="64"/>
      <c r="L1421" s="57"/>
    </row>
    <row r="1422" spans="8:12" x14ac:dyDescent="0.2">
      <c r="H1422" s="57"/>
      <c r="J1422" s="48"/>
      <c r="K1422" s="64"/>
      <c r="L1422" s="57"/>
    </row>
    <row r="1423" spans="8:12" x14ac:dyDescent="0.2">
      <c r="H1423" s="57"/>
      <c r="J1423" s="48"/>
      <c r="K1423" s="64"/>
      <c r="L1423" s="57"/>
    </row>
    <row r="1424" spans="8:12" x14ac:dyDescent="0.2">
      <c r="H1424" s="57"/>
      <c r="J1424" s="48"/>
      <c r="K1424" s="64"/>
      <c r="L1424" s="57"/>
    </row>
    <row r="1425" spans="8:12" x14ac:dyDescent="0.2">
      <c r="H1425" s="57"/>
      <c r="J1425" s="48"/>
      <c r="K1425" s="64"/>
      <c r="L1425" s="57"/>
    </row>
    <row r="1426" spans="8:12" x14ac:dyDescent="0.2">
      <c r="H1426" s="57"/>
      <c r="J1426" s="48"/>
      <c r="K1426" s="64"/>
      <c r="L1426" s="57"/>
    </row>
    <row r="1427" spans="8:12" x14ac:dyDescent="0.2">
      <c r="H1427" s="57"/>
      <c r="J1427" s="48"/>
      <c r="K1427" s="64"/>
      <c r="L1427" s="57"/>
    </row>
    <row r="1428" spans="8:12" x14ac:dyDescent="0.2">
      <c r="H1428" s="57"/>
      <c r="J1428" s="48"/>
      <c r="K1428" s="64"/>
      <c r="L1428" s="57"/>
    </row>
    <row r="1429" spans="8:12" x14ac:dyDescent="0.2">
      <c r="H1429" s="57"/>
      <c r="J1429" s="48"/>
      <c r="K1429" s="64"/>
      <c r="L1429" s="57"/>
    </row>
    <row r="1430" spans="8:12" x14ac:dyDescent="0.2">
      <c r="H1430" s="57"/>
      <c r="J1430" s="48"/>
      <c r="K1430" s="64"/>
      <c r="L1430" s="57"/>
    </row>
    <row r="1431" spans="8:12" x14ac:dyDescent="0.2">
      <c r="H1431" s="57"/>
      <c r="J1431" s="48"/>
      <c r="K1431" s="64"/>
      <c r="L1431" s="57"/>
    </row>
    <row r="1432" spans="8:12" x14ac:dyDescent="0.2">
      <c r="H1432" s="57"/>
      <c r="J1432" s="48"/>
      <c r="K1432" s="64"/>
      <c r="L1432" s="57"/>
    </row>
    <row r="1433" spans="8:12" x14ac:dyDescent="0.2">
      <c r="H1433" s="57"/>
      <c r="J1433" s="48"/>
      <c r="K1433" s="64"/>
      <c r="L1433" s="57"/>
    </row>
    <row r="1434" spans="8:12" x14ac:dyDescent="0.2">
      <c r="H1434" s="57"/>
      <c r="J1434" s="48"/>
      <c r="K1434" s="64"/>
      <c r="L1434" s="57"/>
    </row>
    <row r="1435" spans="8:12" x14ac:dyDescent="0.2">
      <c r="H1435" s="57"/>
      <c r="J1435" s="48"/>
      <c r="K1435" s="64"/>
      <c r="L1435" s="57"/>
    </row>
    <row r="1436" spans="8:12" x14ac:dyDescent="0.2">
      <c r="H1436" s="57"/>
      <c r="J1436" s="48"/>
      <c r="K1436" s="64"/>
      <c r="L1436" s="57"/>
    </row>
    <row r="1437" spans="8:12" x14ac:dyDescent="0.2">
      <c r="H1437" s="57"/>
      <c r="J1437" s="48"/>
      <c r="K1437" s="64"/>
      <c r="L1437" s="57"/>
    </row>
    <row r="1438" spans="8:12" x14ac:dyDescent="0.2">
      <c r="H1438" s="57"/>
      <c r="J1438" s="48"/>
      <c r="K1438" s="64"/>
      <c r="L1438" s="57"/>
    </row>
    <row r="1439" spans="8:12" x14ac:dyDescent="0.2">
      <c r="H1439" s="57"/>
      <c r="J1439" s="48"/>
      <c r="K1439" s="64"/>
      <c r="L1439" s="57"/>
    </row>
    <row r="1440" spans="8:12" x14ac:dyDescent="0.2">
      <c r="H1440" s="57"/>
      <c r="J1440" s="48"/>
      <c r="K1440" s="64"/>
      <c r="L1440" s="57"/>
    </row>
    <row r="1441" spans="8:12" x14ac:dyDescent="0.2">
      <c r="H1441" s="57"/>
      <c r="J1441" s="48"/>
      <c r="K1441" s="64"/>
      <c r="L1441" s="57"/>
    </row>
    <row r="1442" spans="8:12" x14ac:dyDescent="0.2">
      <c r="H1442" s="57"/>
      <c r="J1442" s="48"/>
      <c r="K1442" s="64"/>
      <c r="L1442" s="57"/>
    </row>
    <row r="1443" spans="8:12" x14ac:dyDescent="0.2">
      <c r="H1443" s="57"/>
      <c r="J1443" s="48"/>
      <c r="K1443" s="64"/>
      <c r="L1443" s="57"/>
    </row>
    <row r="1444" spans="8:12" x14ac:dyDescent="0.2">
      <c r="H1444" s="57"/>
      <c r="J1444" s="48"/>
      <c r="K1444" s="64"/>
      <c r="L1444" s="57"/>
    </row>
    <row r="1445" spans="8:12" x14ac:dyDescent="0.2">
      <c r="H1445" s="57"/>
      <c r="J1445" s="48"/>
      <c r="K1445" s="64"/>
      <c r="L1445" s="57"/>
    </row>
    <row r="1446" spans="8:12" x14ac:dyDescent="0.2">
      <c r="H1446" s="57"/>
      <c r="J1446" s="48"/>
      <c r="K1446" s="64"/>
      <c r="L1446" s="57"/>
    </row>
    <row r="1447" spans="8:12" x14ac:dyDescent="0.2">
      <c r="H1447" s="57"/>
      <c r="J1447" s="48"/>
      <c r="K1447" s="64"/>
      <c r="L1447" s="57"/>
    </row>
    <row r="1448" spans="8:12" x14ac:dyDescent="0.2">
      <c r="H1448" s="57"/>
      <c r="J1448" s="48"/>
      <c r="K1448" s="64"/>
      <c r="L1448" s="57"/>
    </row>
    <row r="1449" spans="8:12" x14ac:dyDescent="0.2">
      <c r="H1449" s="57"/>
      <c r="J1449" s="48"/>
      <c r="K1449" s="64"/>
      <c r="L1449" s="57"/>
    </row>
    <row r="1450" spans="8:12" x14ac:dyDescent="0.2">
      <c r="H1450" s="57"/>
      <c r="J1450" s="48"/>
      <c r="K1450" s="64"/>
      <c r="L1450" s="57"/>
    </row>
    <row r="1451" spans="8:12" x14ac:dyDescent="0.2">
      <c r="H1451" s="57"/>
      <c r="J1451" s="48"/>
      <c r="K1451" s="64"/>
      <c r="L1451" s="57"/>
    </row>
    <row r="1452" spans="8:12" x14ac:dyDescent="0.2">
      <c r="H1452" s="57"/>
      <c r="J1452" s="48"/>
      <c r="K1452" s="64"/>
      <c r="L1452" s="57"/>
    </row>
    <row r="1453" spans="8:12" x14ac:dyDescent="0.2">
      <c r="H1453" s="57"/>
      <c r="J1453" s="48"/>
      <c r="K1453" s="64"/>
      <c r="L1453" s="57"/>
    </row>
    <row r="1454" spans="8:12" x14ac:dyDescent="0.2">
      <c r="H1454" s="57"/>
      <c r="J1454" s="48"/>
      <c r="K1454" s="64"/>
      <c r="L1454" s="57"/>
    </row>
    <row r="1455" spans="8:12" x14ac:dyDescent="0.2">
      <c r="H1455" s="57"/>
      <c r="J1455" s="48"/>
      <c r="K1455" s="64"/>
      <c r="L1455" s="57"/>
    </row>
    <row r="1456" spans="8:12" x14ac:dyDescent="0.2">
      <c r="H1456" s="57"/>
      <c r="J1456" s="48"/>
      <c r="K1456" s="64"/>
      <c r="L1456" s="57"/>
    </row>
    <row r="1457" spans="8:12" x14ac:dyDescent="0.2">
      <c r="H1457" s="57"/>
      <c r="J1457" s="48"/>
      <c r="K1457" s="64"/>
      <c r="L1457" s="57"/>
    </row>
    <row r="1458" spans="8:12" x14ac:dyDescent="0.2">
      <c r="H1458" s="57"/>
      <c r="J1458" s="48"/>
      <c r="K1458" s="64"/>
      <c r="L1458" s="57"/>
    </row>
    <row r="1459" spans="8:12" x14ac:dyDescent="0.2">
      <c r="H1459" s="57"/>
      <c r="J1459" s="48"/>
      <c r="K1459" s="64"/>
      <c r="L1459" s="57"/>
    </row>
    <row r="1460" spans="8:12" x14ac:dyDescent="0.2">
      <c r="H1460" s="57"/>
      <c r="J1460" s="48"/>
      <c r="K1460" s="64"/>
      <c r="L1460" s="57"/>
    </row>
    <row r="1461" spans="8:12" x14ac:dyDescent="0.2">
      <c r="H1461" s="57"/>
      <c r="J1461" s="48"/>
      <c r="K1461" s="64"/>
      <c r="L1461" s="57"/>
    </row>
    <row r="1462" spans="8:12" x14ac:dyDescent="0.2">
      <c r="H1462" s="57"/>
      <c r="J1462" s="48"/>
      <c r="K1462" s="64"/>
      <c r="L1462" s="57"/>
    </row>
    <row r="1463" spans="8:12" x14ac:dyDescent="0.2">
      <c r="H1463" s="57"/>
      <c r="J1463" s="48"/>
      <c r="K1463" s="64"/>
      <c r="L1463" s="57"/>
    </row>
    <row r="1464" spans="8:12" x14ac:dyDescent="0.2">
      <c r="H1464" s="57"/>
      <c r="J1464" s="48"/>
      <c r="K1464" s="64"/>
      <c r="L1464" s="57"/>
    </row>
    <row r="1465" spans="8:12" x14ac:dyDescent="0.2">
      <c r="H1465" s="57"/>
      <c r="J1465" s="48"/>
      <c r="K1465" s="64"/>
      <c r="L1465" s="57"/>
    </row>
    <row r="1466" spans="8:12" x14ac:dyDescent="0.2">
      <c r="H1466" s="57"/>
      <c r="J1466" s="48"/>
      <c r="K1466" s="64"/>
      <c r="L1466" s="57"/>
    </row>
    <row r="1467" spans="8:12" x14ac:dyDescent="0.2">
      <c r="H1467" s="57"/>
      <c r="J1467" s="48"/>
      <c r="K1467" s="64"/>
      <c r="L1467" s="57"/>
    </row>
    <row r="1468" spans="8:12" x14ac:dyDescent="0.2">
      <c r="H1468" s="57"/>
      <c r="J1468" s="48"/>
      <c r="K1468" s="64"/>
      <c r="L1468" s="57"/>
    </row>
    <row r="1469" spans="8:12" x14ac:dyDescent="0.2">
      <c r="H1469" s="57"/>
      <c r="J1469" s="48"/>
      <c r="K1469" s="64"/>
      <c r="L1469" s="57"/>
    </row>
    <row r="1470" spans="8:12" x14ac:dyDescent="0.2">
      <c r="H1470" s="57"/>
      <c r="J1470" s="48"/>
      <c r="K1470" s="64"/>
      <c r="L1470" s="57"/>
    </row>
    <row r="1471" spans="8:12" x14ac:dyDescent="0.2">
      <c r="H1471" s="57"/>
      <c r="J1471" s="48"/>
      <c r="K1471" s="64"/>
      <c r="L1471" s="57"/>
    </row>
    <row r="1472" spans="8:12" x14ac:dyDescent="0.2">
      <c r="H1472" s="57"/>
      <c r="J1472" s="48"/>
      <c r="K1472" s="64"/>
      <c r="L1472" s="57"/>
    </row>
    <row r="1473" spans="8:12" x14ac:dyDescent="0.2">
      <c r="H1473" s="57"/>
      <c r="J1473" s="48"/>
      <c r="K1473" s="64"/>
      <c r="L1473" s="57"/>
    </row>
    <row r="1474" spans="8:12" x14ac:dyDescent="0.2">
      <c r="H1474" s="57"/>
      <c r="J1474" s="48"/>
      <c r="K1474" s="64"/>
      <c r="L1474" s="57"/>
    </row>
    <row r="1475" spans="8:12" x14ac:dyDescent="0.2">
      <c r="H1475" s="57"/>
      <c r="J1475" s="48"/>
      <c r="K1475" s="64"/>
      <c r="L1475" s="57"/>
    </row>
    <row r="1476" spans="8:12" x14ac:dyDescent="0.2">
      <c r="H1476" s="57"/>
      <c r="J1476" s="48"/>
      <c r="K1476" s="64"/>
      <c r="L1476" s="57"/>
    </row>
    <row r="1477" spans="8:12" x14ac:dyDescent="0.2">
      <c r="H1477" s="57"/>
      <c r="J1477" s="48"/>
      <c r="K1477" s="64"/>
      <c r="L1477" s="57"/>
    </row>
    <row r="1478" spans="8:12" x14ac:dyDescent="0.2">
      <c r="H1478" s="57"/>
      <c r="J1478" s="48"/>
      <c r="K1478" s="64"/>
      <c r="L1478" s="57"/>
    </row>
    <row r="1479" spans="8:12" x14ac:dyDescent="0.2">
      <c r="H1479" s="57"/>
      <c r="J1479" s="48"/>
      <c r="K1479" s="64"/>
      <c r="L1479" s="57"/>
    </row>
    <row r="1480" spans="8:12" x14ac:dyDescent="0.2">
      <c r="H1480" s="57"/>
      <c r="J1480" s="48"/>
      <c r="K1480" s="64"/>
      <c r="L1480" s="57"/>
    </row>
    <row r="1481" spans="8:12" x14ac:dyDescent="0.2">
      <c r="H1481" s="57"/>
      <c r="J1481" s="48"/>
      <c r="K1481" s="64"/>
      <c r="L1481" s="57"/>
    </row>
    <row r="1482" spans="8:12" x14ac:dyDescent="0.2">
      <c r="H1482" s="57"/>
      <c r="J1482" s="48"/>
      <c r="K1482" s="64"/>
      <c r="L1482" s="57"/>
    </row>
    <row r="1483" spans="8:12" x14ac:dyDescent="0.2">
      <c r="H1483" s="57"/>
      <c r="J1483" s="48"/>
      <c r="K1483" s="64"/>
      <c r="L1483" s="57"/>
    </row>
    <row r="1484" spans="8:12" x14ac:dyDescent="0.2">
      <c r="H1484" s="57"/>
      <c r="J1484" s="48"/>
      <c r="K1484" s="64"/>
      <c r="L1484" s="57"/>
    </row>
    <row r="1485" spans="8:12" x14ac:dyDescent="0.2">
      <c r="H1485" s="57"/>
      <c r="J1485" s="48"/>
      <c r="K1485" s="64"/>
      <c r="L1485" s="57"/>
    </row>
    <row r="1486" spans="8:12" x14ac:dyDescent="0.2">
      <c r="H1486" s="57"/>
      <c r="J1486" s="48"/>
      <c r="K1486" s="64"/>
      <c r="L1486" s="57"/>
    </row>
    <row r="1487" spans="8:12" x14ac:dyDescent="0.2">
      <c r="H1487" s="57"/>
      <c r="J1487" s="48"/>
      <c r="K1487" s="64"/>
      <c r="L1487" s="57"/>
    </row>
    <row r="1488" spans="8:12" x14ac:dyDescent="0.2">
      <c r="H1488" s="57"/>
      <c r="J1488" s="48"/>
      <c r="K1488" s="64"/>
      <c r="L1488" s="57"/>
    </row>
    <row r="1489" spans="8:12" x14ac:dyDescent="0.2">
      <c r="H1489" s="57"/>
      <c r="J1489" s="48"/>
      <c r="K1489" s="64"/>
      <c r="L1489" s="57"/>
    </row>
    <row r="1490" spans="8:12" x14ac:dyDescent="0.2">
      <c r="H1490" s="57"/>
      <c r="J1490" s="48"/>
      <c r="K1490" s="64"/>
      <c r="L1490" s="57"/>
    </row>
    <row r="1491" spans="8:12" x14ac:dyDescent="0.2">
      <c r="H1491" s="57"/>
      <c r="J1491" s="48"/>
      <c r="K1491" s="64"/>
      <c r="L1491" s="57"/>
    </row>
    <row r="1492" spans="8:12" x14ac:dyDescent="0.2">
      <c r="H1492" s="57"/>
      <c r="J1492" s="48"/>
      <c r="K1492" s="64"/>
      <c r="L1492" s="57"/>
    </row>
    <row r="1493" spans="8:12" x14ac:dyDescent="0.2">
      <c r="H1493" s="57"/>
      <c r="J1493" s="48"/>
      <c r="K1493" s="64"/>
      <c r="L1493" s="57"/>
    </row>
    <row r="1494" spans="8:12" x14ac:dyDescent="0.2">
      <c r="H1494" s="57"/>
      <c r="J1494" s="48"/>
      <c r="K1494" s="64"/>
      <c r="L1494" s="57"/>
    </row>
    <row r="1495" spans="8:12" x14ac:dyDescent="0.2">
      <c r="H1495" s="57"/>
      <c r="J1495" s="48"/>
      <c r="K1495" s="64"/>
      <c r="L1495" s="57"/>
    </row>
    <row r="1496" spans="8:12" x14ac:dyDescent="0.2">
      <c r="H1496" s="57"/>
      <c r="J1496" s="48"/>
      <c r="K1496" s="64"/>
      <c r="L1496" s="57"/>
    </row>
    <row r="1497" spans="8:12" x14ac:dyDescent="0.2">
      <c r="H1497" s="57"/>
      <c r="J1497" s="48"/>
      <c r="K1497" s="64"/>
      <c r="L1497" s="57"/>
    </row>
    <row r="1498" spans="8:12" x14ac:dyDescent="0.2">
      <c r="H1498" s="57"/>
      <c r="J1498" s="48"/>
      <c r="K1498" s="64"/>
      <c r="L1498" s="57"/>
    </row>
    <row r="1499" spans="8:12" x14ac:dyDescent="0.2">
      <c r="H1499" s="57"/>
      <c r="J1499" s="48"/>
      <c r="K1499" s="64"/>
      <c r="L1499" s="57"/>
    </row>
    <row r="1500" spans="8:12" x14ac:dyDescent="0.2">
      <c r="H1500" s="57"/>
      <c r="J1500" s="48"/>
      <c r="K1500" s="64"/>
      <c r="L1500" s="57"/>
    </row>
    <row r="1501" spans="8:12" x14ac:dyDescent="0.2">
      <c r="H1501" s="57"/>
      <c r="J1501" s="48"/>
      <c r="K1501" s="64"/>
      <c r="L1501" s="57"/>
    </row>
    <row r="1502" spans="8:12" x14ac:dyDescent="0.2">
      <c r="H1502" s="57"/>
      <c r="J1502" s="48"/>
      <c r="K1502" s="64"/>
      <c r="L1502" s="57"/>
    </row>
    <row r="1503" spans="8:12" x14ac:dyDescent="0.2">
      <c r="H1503" s="57"/>
      <c r="J1503" s="48"/>
      <c r="K1503" s="64"/>
      <c r="L1503" s="57"/>
    </row>
    <row r="1504" spans="8:12" x14ac:dyDescent="0.2">
      <c r="H1504" s="57"/>
      <c r="J1504" s="48"/>
      <c r="K1504" s="64"/>
      <c r="L1504" s="57"/>
    </row>
    <row r="1505" spans="8:12" x14ac:dyDescent="0.2">
      <c r="H1505" s="57"/>
      <c r="J1505" s="48"/>
      <c r="K1505" s="64"/>
      <c r="L1505" s="57"/>
    </row>
    <row r="1506" spans="8:12" x14ac:dyDescent="0.2">
      <c r="H1506" s="57"/>
      <c r="J1506" s="48"/>
      <c r="K1506" s="64"/>
      <c r="L1506" s="57"/>
    </row>
    <row r="1507" spans="8:12" x14ac:dyDescent="0.2">
      <c r="H1507" s="57"/>
      <c r="J1507" s="48"/>
      <c r="K1507" s="64"/>
      <c r="L1507" s="57"/>
    </row>
    <row r="1508" spans="8:12" x14ac:dyDescent="0.2">
      <c r="H1508" s="57"/>
      <c r="J1508" s="48"/>
      <c r="K1508" s="64"/>
      <c r="L1508" s="57"/>
    </row>
    <row r="1509" spans="8:12" x14ac:dyDescent="0.2">
      <c r="H1509" s="57"/>
      <c r="J1509" s="48"/>
      <c r="K1509" s="64"/>
      <c r="L1509" s="57"/>
    </row>
    <row r="1510" spans="8:12" x14ac:dyDescent="0.2">
      <c r="H1510" s="57"/>
      <c r="J1510" s="48"/>
      <c r="K1510" s="64"/>
      <c r="L1510" s="57"/>
    </row>
    <row r="1511" spans="8:12" x14ac:dyDescent="0.2">
      <c r="H1511" s="57"/>
      <c r="J1511" s="48"/>
      <c r="K1511" s="64"/>
      <c r="L1511" s="57"/>
    </row>
    <row r="1512" spans="8:12" x14ac:dyDescent="0.2">
      <c r="H1512" s="57"/>
      <c r="J1512" s="48"/>
      <c r="K1512" s="64"/>
      <c r="L1512" s="57"/>
    </row>
    <row r="1513" spans="8:12" x14ac:dyDescent="0.2">
      <c r="H1513" s="57"/>
      <c r="J1513" s="48"/>
      <c r="K1513" s="64"/>
      <c r="L1513" s="57"/>
    </row>
    <row r="1514" spans="8:12" x14ac:dyDescent="0.2">
      <c r="H1514" s="57"/>
      <c r="J1514" s="48"/>
      <c r="K1514" s="64"/>
      <c r="L1514" s="57"/>
    </row>
    <row r="1515" spans="8:12" x14ac:dyDescent="0.2">
      <c r="H1515" s="57"/>
      <c r="J1515" s="48"/>
      <c r="K1515" s="64"/>
      <c r="L1515" s="57"/>
    </row>
    <row r="1516" spans="8:12" x14ac:dyDescent="0.2">
      <c r="H1516" s="57"/>
      <c r="J1516" s="48"/>
      <c r="K1516" s="64"/>
      <c r="L1516" s="57"/>
    </row>
    <row r="1517" spans="8:12" x14ac:dyDescent="0.2">
      <c r="H1517" s="57"/>
      <c r="J1517" s="48"/>
      <c r="K1517" s="64"/>
      <c r="L1517" s="57"/>
    </row>
    <row r="1518" spans="8:12" x14ac:dyDescent="0.2">
      <c r="H1518" s="57"/>
      <c r="J1518" s="48"/>
      <c r="K1518" s="64"/>
      <c r="L1518" s="57"/>
    </row>
    <row r="1519" spans="8:12" x14ac:dyDescent="0.2">
      <c r="H1519" s="57"/>
      <c r="J1519" s="48"/>
      <c r="K1519" s="64"/>
      <c r="L1519" s="57"/>
    </row>
    <row r="1520" spans="8:12" x14ac:dyDescent="0.2">
      <c r="H1520" s="57"/>
      <c r="J1520" s="48"/>
      <c r="K1520" s="64"/>
      <c r="L1520" s="57"/>
    </row>
    <row r="1521" spans="8:12" x14ac:dyDescent="0.2">
      <c r="H1521" s="57"/>
      <c r="J1521" s="48"/>
      <c r="K1521" s="64"/>
      <c r="L1521" s="57"/>
    </row>
    <row r="1522" spans="8:12" x14ac:dyDescent="0.2">
      <c r="H1522" s="57"/>
      <c r="J1522" s="48"/>
      <c r="K1522" s="64"/>
      <c r="L1522" s="57"/>
    </row>
    <row r="1523" spans="8:12" x14ac:dyDescent="0.2">
      <c r="H1523" s="57"/>
      <c r="J1523" s="48"/>
      <c r="K1523" s="64"/>
      <c r="L1523" s="57"/>
    </row>
    <row r="1524" spans="8:12" x14ac:dyDescent="0.2">
      <c r="H1524" s="57"/>
      <c r="J1524" s="48"/>
      <c r="K1524" s="64"/>
      <c r="L1524" s="57"/>
    </row>
    <row r="1525" spans="8:12" x14ac:dyDescent="0.2">
      <c r="H1525" s="57"/>
      <c r="J1525" s="48"/>
      <c r="K1525" s="64"/>
      <c r="L1525" s="57"/>
    </row>
    <row r="1526" spans="8:12" x14ac:dyDescent="0.2">
      <c r="H1526" s="57"/>
      <c r="J1526" s="48"/>
      <c r="K1526" s="64"/>
      <c r="L1526" s="57"/>
    </row>
    <row r="1527" spans="8:12" x14ac:dyDescent="0.2">
      <c r="H1527" s="57"/>
      <c r="J1527" s="48"/>
      <c r="K1527" s="64"/>
      <c r="L1527" s="57"/>
    </row>
    <row r="1528" spans="8:12" x14ac:dyDescent="0.2">
      <c r="H1528" s="57"/>
      <c r="J1528" s="48"/>
      <c r="K1528" s="64"/>
      <c r="L1528" s="57"/>
    </row>
    <row r="1529" spans="8:12" x14ac:dyDescent="0.2">
      <c r="H1529" s="57"/>
      <c r="J1529" s="48"/>
      <c r="K1529" s="64"/>
      <c r="L1529" s="57"/>
    </row>
    <row r="1530" spans="8:12" x14ac:dyDescent="0.2">
      <c r="H1530" s="57"/>
      <c r="J1530" s="48"/>
      <c r="K1530" s="64"/>
      <c r="L1530" s="57"/>
    </row>
    <row r="1531" spans="8:12" x14ac:dyDescent="0.2">
      <c r="H1531" s="57"/>
      <c r="J1531" s="48"/>
      <c r="K1531" s="64"/>
      <c r="L1531" s="57"/>
    </row>
    <row r="1532" spans="8:12" x14ac:dyDescent="0.2">
      <c r="H1532" s="57"/>
      <c r="J1532" s="48"/>
      <c r="K1532" s="64"/>
      <c r="L1532" s="57"/>
    </row>
    <row r="1533" spans="8:12" x14ac:dyDescent="0.2">
      <c r="H1533" s="57"/>
      <c r="J1533" s="48"/>
      <c r="K1533" s="64"/>
      <c r="L1533" s="57"/>
    </row>
    <row r="1534" spans="8:12" x14ac:dyDescent="0.2">
      <c r="H1534" s="57"/>
      <c r="J1534" s="48"/>
      <c r="K1534" s="64"/>
      <c r="L1534" s="57"/>
    </row>
    <row r="1535" spans="8:12" x14ac:dyDescent="0.2">
      <c r="H1535" s="57"/>
      <c r="J1535" s="48"/>
      <c r="K1535" s="64"/>
      <c r="L1535" s="57"/>
    </row>
    <row r="1536" spans="8:12" x14ac:dyDescent="0.2">
      <c r="H1536" s="57"/>
      <c r="J1536" s="48"/>
      <c r="K1536" s="64"/>
      <c r="L1536" s="57"/>
    </row>
    <row r="1537" spans="8:12" x14ac:dyDescent="0.2">
      <c r="H1537" s="57"/>
      <c r="J1537" s="48"/>
      <c r="K1537" s="64"/>
      <c r="L1537" s="57"/>
    </row>
    <row r="1538" spans="8:12" x14ac:dyDescent="0.2">
      <c r="H1538" s="57"/>
      <c r="J1538" s="48"/>
      <c r="K1538" s="64"/>
      <c r="L1538" s="57"/>
    </row>
    <row r="1539" spans="8:12" x14ac:dyDescent="0.2">
      <c r="H1539" s="57"/>
      <c r="J1539" s="48"/>
      <c r="K1539" s="64"/>
      <c r="L1539" s="57"/>
    </row>
    <row r="1540" spans="8:12" x14ac:dyDescent="0.2">
      <c r="H1540" s="57"/>
      <c r="J1540" s="48"/>
      <c r="K1540" s="64"/>
      <c r="L1540" s="57"/>
    </row>
    <row r="1541" spans="8:12" x14ac:dyDescent="0.2">
      <c r="H1541" s="57"/>
      <c r="J1541" s="48"/>
      <c r="K1541" s="64"/>
      <c r="L1541" s="57"/>
    </row>
    <row r="1542" spans="8:12" x14ac:dyDescent="0.2">
      <c r="H1542" s="57"/>
      <c r="J1542" s="48"/>
      <c r="K1542" s="64"/>
      <c r="L1542" s="57"/>
    </row>
    <row r="1543" spans="8:12" x14ac:dyDescent="0.2">
      <c r="H1543" s="57"/>
      <c r="J1543" s="48"/>
      <c r="K1543" s="64"/>
      <c r="L1543" s="57"/>
    </row>
    <row r="1544" spans="8:12" x14ac:dyDescent="0.2">
      <c r="H1544" s="57"/>
      <c r="J1544" s="48"/>
      <c r="K1544" s="64"/>
      <c r="L1544" s="57"/>
    </row>
    <row r="1545" spans="8:12" x14ac:dyDescent="0.2">
      <c r="H1545" s="57"/>
      <c r="J1545" s="48"/>
      <c r="K1545" s="64"/>
      <c r="L1545" s="57"/>
    </row>
    <row r="1546" spans="8:12" x14ac:dyDescent="0.2">
      <c r="H1546" s="57"/>
      <c r="J1546" s="48"/>
      <c r="K1546" s="64"/>
      <c r="L1546" s="57"/>
    </row>
    <row r="1547" spans="8:12" x14ac:dyDescent="0.2">
      <c r="H1547" s="57"/>
      <c r="J1547" s="48"/>
      <c r="K1547" s="64"/>
      <c r="L1547" s="57"/>
    </row>
    <row r="1548" spans="8:12" x14ac:dyDescent="0.2">
      <c r="H1548" s="57"/>
      <c r="J1548" s="48"/>
      <c r="K1548" s="64"/>
      <c r="L1548" s="57"/>
    </row>
    <row r="1549" spans="8:12" x14ac:dyDescent="0.2">
      <c r="H1549" s="57"/>
      <c r="J1549" s="48"/>
      <c r="K1549" s="64"/>
      <c r="L1549" s="57"/>
    </row>
    <row r="1550" spans="8:12" x14ac:dyDescent="0.2">
      <c r="H1550" s="57"/>
      <c r="J1550" s="48"/>
      <c r="K1550" s="64"/>
      <c r="L1550" s="57"/>
    </row>
    <row r="1551" spans="8:12" x14ac:dyDescent="0.2">
      <c r="H1551" s="57"/>
      <c r="J1551" s="48"/>
      <c r="K1551" s="64"/>
      <c r="L1551" s="57"/>
    </row>
    <row r="1552" spans="8:12" x14ac:dyDescent="0.2">
      <c r="H1552" s="57"/>
      <c r="J1552" s="48"/>
      <c r="K1552" s="64"/>
      <c r="L1552" s="57"/>
    </row>
    <row r="1553" spans="8:12" x14ac:dyDescent="0.2">
      <c r="H1553" s="57"/>
      <c r="J1553" s="48"/>
      <c r="K1553" s="64"/>
      <c r="L1553" s="57"/>
    </row>
    <row r="1554" spans="8:12" x14ac:dyDescent="0.2">
      <c r="H1554" s="57"/>
      <c r="J1554" s="48"/>
      <c r="K1554" s="64"/>
      <c r="L1554" s="57"/>
    </row>
    <row r="1555" spans="8:12" x14ac:dyDescent="0.2">
      <c r="H1555" s="57"/>
      <c r="J1555" s="48"/>
      <c r="K1555" s="64"/>
      <c r="L1555" s="57"/>
    </row>
    <row r="1556" spans="8:12" x14ac:dyDescent="0.2">
      <c r="H1556" s="57"/>
      <c r="J1556" s="48"/>
      <c r="K1556" s="64"/>
      <c r="L1556" s="57"/>
    </row>
    <row r="1557" spans="8:12" x14ac:dyDescent="0.2">
      <c r="H1557" s="57"/>
      <c r="J1557" s="48"/>
      <c r="K1557" s="64"/>
      <c r="L1557" s="57"/>
    </row>
    <row r="1558" spans="8:12" x14ac:dyDescent="0.2">
      <c r="H1558" s="57"/>
      <c r="J1558" s="48"/>
      <c r="K1558" s="64"/>
      <c r="L1558" s="57"/>
    </row>
    <row r="1559" spans="8:12" x14ac:dyDescent="0.2">
      <c r="H1559" s="57"/>
      <c r="J1559" s="48"/>
      <c r="K1559" s="64"/>
      <c r="L1559" s="57"/>
    </row>
    <row r="1560" spans="8:12" x14ac:dyDescent="0.2">
      <c r="H1560" s="57"/>
      <c r="J1560" s="48"/>
      <c r="K1560" s="64"/>
      <c r="L1560" s="57"/>
    </row>
    <row r="1561" spans="8:12" x14ac:dyDescent="0.2">
      <c r="H1561" s="57"/>
      <c r="J1561" s="48"/>
      <c r="K1561" s="64"/>
      <c r="L1561" s="57"/>
    </row>
    <row r="1562" spans="8:12" x14ac:dyDescent="0.2">
      <c r="H1562" s="57"/>
      <c r="J1562" s="48"/>
      <c r="K1562" s="64"/>
      <c r="L1562" s="57"/>
    </row>
    <row r="1563" spans="8:12" x14ac:dyDescent="0.2">
      <c r="H1563" s="57"/>
      <c r="J1563" s="48"/>
      <c r="K1563" s="64"/>
      <c r="L1563" s="57"/>
    </row>
    <row r="1564" spans="8:12" x14ac:dyDescent="0.2">
      <c r="H1564" s="57"/>
      <c r="J1564" s="48"/>
      <c r="K1564" s="64"/>
      <c r="L1564" s="57"/>
    </row>
    <row r="1565" spans="8:12" x14ac:dyDescent="0.2">
      <c r="H1565" s="57"/>
      <c r="J1565" s="48"/>
      <c r="K1565" s="64"/>
      <c r="L1565" s="57"/>
    </row>
    <row r="1566" spans="8:12" x14ac:dyDescent="0.2">
      <c r="H1566" s="57"/>
      <c r="J1566" s="48"/>
      <c r="K1566" s="64"/>
      <c r="L1566" s="57"/>
    </row>
    <row r="1567" spans="8:12" x14ac:dyDescent="0.2">
      <c r="H1567" s="57"/>
      <c r="J1567" s="48"/>
      <c r="K1567" s="64"/>
      <c r="L1567" s="57"/>
    </row>
    <row r="1568" spans="8:12" x14ac:dyDescent="0.2">
      <c r="H1568" s="57"/>
      <c r="J1568" s="48"/>
      <c r="K1568" s="64"/>
      <c r="L1568" s="57"/>
    </row>
    <row r="1569" spans="8:12" x14ac:dyDescent="0.2">
      <c r="H1569" s="57"/>
      <c r="J1569" s="48"/>
      <c r="K1569" s="64"/>
      <c r="L1569" s="57"/>
    </row>
    <row r="1570" spans="8:12" x14ac:dyDescent="0.2">
      <c r="H1570" s="57"/>
      <c r="J1570" s="48"/>
      <c r="K1570" s="64"/>
      <c r="L1570" s="57"/>
    </row>
    <row r="1571" spans="8:12" x14ac:dyDescent="0.2">
      <c r="H1571" s="57"/>
      <c r="J1571" s="48"/>
      <c r="K1571" s="64"/>
      <c r="L1571" s="57"/>
    </row>
    <row r="1572" spans="8:12" x14ac:dyDescent="0.2">
      <c r="H1572" s="57"/>
      <c r="J1572" s="48"/>
      <c r="K1572" s="64"/>
      <c r="L1572" s="57"/>
    </row>
    <row r="1573" spans="8:12" x14ac:dyDescent="0.2">
      <c r="H1573" s="57"/>
      <c r="J1573" s="48"/>
      <c r="K1573" s="64"/>
      <c r="L1573" s="57"/>
    </row>
    <row r="1574" spans="8:12" x14ac:dyDescent="0.2">
      <c r="H1574" s="57"/>
      <c r="J1574" s="48"/>
      <c r="K1574" s="64"/>
      <c r="L1574" s="57"/>
    </row>
    <row r="1575" spans="8:12" x14ac:dyDescent="0.2">
      <c r="H1575" s="57"/>
      <c r="J1575" s="48"/>
      <c r="K1575" s="64"/>
      <c r="L1575" s="57"/>
    </row>
    <row r="1576" spans="8:12" x14ac:dyDescent="0.2">
      <c r="H1576" s="57"/>
      <c r="J1576" s="48"/>
      <c r="K1576" s="64"/>
      <c r="L1576" s="57"/>
    </row>
    <row r="1577" spans="8:12" x14ac:dyDescent="0.2">
      <c r="H1577" s="57"/>
      <c r="J1577" s="48"/>
      <c r="K1577" s="64"/>
      <c r="L1577" s="57"/>
    </row>
    <row r="1578" spans="8:12" x14ac:dyDescent="0.2">
      <c r="H1578" s="57"/>
      <c r="J1578" s="48"/>
      <c r="K1578" s="64"/>
      <c r="L1578" s="57"/>
    </row>
    <row r="1579" spans="8:12" x14ac:dyDescent="0.2">
      <c r="H1579" s="57"/>
      <c r="J1579" s="48"/>
      <c r="K1579" s="64"/>
      <c r="L1579" s="57"/>
    </row>
    <row r="1580" spans="8:12" x14ac:dyDescent="0.2">
      <c r="H1580" s="57"/>
      <c r="J1580" s="48"/>
      <c r="K1580" s="64"/>
      <c r="L1580" s="57"/>
    </row>
    <row r="1581" spans="8:12" x14ac:dyDescent="0.2">
      <c r="H1581" s="57"/>
      <c r="J1581" s="48"/>
      <c r="K1581" s="64"/>
      <c r="L1581" s="57"/>
    </row>
    <row r="1582" spans="8:12" x14ac:dyDescent="0.2">
      <c r="H1582" s="57"/>
      <c r="J1582" s="48"/>
      <c r="K1582" s="64"/>
      <c r="L1582" s="57"/>
    </row>
    <row r="1583" spans="8:12" x14ac:dyDescent="0.2">
      <c r="H1583" s="57"/>
      <c r="J1583" s="48"/>
      <c r="K1583" s="64"/>
      <c r="L1583" s="57"/>
    </row>
    <row r="1584" spans="8:12" x14ac:dyDescent="0.2">
      <c r="H1584" s="57"/>
      <c r="J1584" s="48"/>
      <c r="K1584" s="64"/>
      <c r="L1584" s="57"/>
    </row>
    <row r="1585" spans="8:12" x14ac:dyDescent="0.2">
      <c r="H1585" s="57"/>
      <c r="J1585" s="48"/>
      <c r="K1585" s="64"/>
      <c r="L1585" s="57"/>
    </row>
    <row r="1586" spans="8:12" x14ac:dyDescent="0.2">
      <c r="H1586" s="57"/>
      <c r="J1586" s="48"/>
      <c r="K1586" s="64"/>
      <c r="L1586" s="57"/>
    </row>
    <row r="1587" spans="8:12" x14ac:dyDescent="0.2">
      <c r="H1587" s="57"/>
      <c r="J1587" s="48"/>
      <c r="K1587" s="64"/>
      <c r="L1587" s="57"/>
    </row>
    <row r="1588" spans="8:12" x14ac:dyDescent="0.2">
      <c r="H1588" s="57"/>
      <c r="J1588" s="48"/>
      <c r="K1588" s="64"/>
      <c r="L1588" s="57"/>
    </row>
    <row r="1589" spans="8:12" x14ac:dyDescent="0.2">
      <c r="H1589" s="57"/>
      <c r="J1589" s="48"/>
      <c r="K1589" s="64"/>
      <c r="L1589" s="57"/>
    </row>
    <row r="1590" spans="8:12" x14ac:dyDescent="0.2">
      <c r="H1590" s="57"/>
      <c r="J1590" s="48"/>
      <c r="K1590" s="64"/>
      <c r="L1590" s="57"/>
    </row>
    <row r="1591" spans="8:12" x14ac:dyDescent="0.2">
      <c r="H1591" s="57"/>
      <c r="J1591" s="48"/>
      <c r="K1591" s="64"/>
      <c r="L1591" s="57"/>
    </row>
    <row r="1592" spans="8:12" x14ac:dyDescent="0.2">
      <c r="H1592" s="57"/>
      <c r="J1592" s="48"/>
      <c r="K1592" s="64"/>
      <c r="L1592" s="57"/>
    </row>
    <row r="1593" spans="8:12" x14ac:dyDescent="0.2">
      <c r="H1593" s="57"/>
      <c r="J1593" s="48"/>
      <c r="K1593" s="64"/>
      <c r="L1593" s="57"/>
    </row>
    <row r="1594" spans="8:12" x14ac:dyDescent="0.2">
      <c r="H1594" s="57"/>
      <c r="J1594" s="48"/>
      <c r="K1594" s="64"/>
      <c r="L1594" s="57"/>
    </row>
    <row r="1595" spans="8:12" x14ac:dyDescent="0.2">
      <c r="H1595" s="57"/>
      <c r="J1595" s="48"/>
      <c r="K1595" s="64"/>
      <c r="L1595" s="57"/>
    </row>
    <row r="1596" spans="8:12" x14ac:dyDescent="0.2">
      <c r="H1596" s="57"/>
      <c r="J1596" s="48"/>
      <c r="K1596" s="64"/>
      <c r="L1596" s="57"/>
    </row>
    <row r="1597" spans="8:12" x14ac:dyDescent="0.2">
      <c r="H1597" s="57"/>
      <c r="J1597" s="48"/>
      <c r="K1597" s="64"/>
      <c r="L1597" s="57"/>
    </row>
    <row r="1598" spans="8:12" x14ac:dyDescent="0.2">
      <c r="H1598" s="57"/>
      <c r="J1598" s="48"/>
      <c r="K1598" s="64"/>
      <c r="L1598" s="57"/>
    </row>
    <row r="1599" spans="8:12" x14ac:dyDescent="0.2">
      <c r="H1599" s="57"/>
      <c r="J1599" s="48"/>
      <c r="K1599" s="64"/>
      <c r="L1599" s="57"/>
    </row>
    <row r="1600" spans="8:12" x14ac:dyDescent="0.2">
      <c r="H1600" s="57"/>
      <c r="J1600" s="48"/>
      <c r="K1600" s="64"/>
      <c r="L1600" s="57"/>
    </row>
    <row r="1601" spans="8:12" x14ac:dyDescent="0.2">
      <c r="H1601" s="57"/>
      <c r="J1601" s="48"/>
      <c r="K1601" s="64"/>
      <c r="L1601" s="57"/>
    </row>
    <row r="1602" spans="8:12" x14ac:dyDescent="0.2">
      <c r="H1602" s="57"/>
      <c r="J1602" s="48"/>
      <c r="K1602" s="64"/>
      <c r="L1602" s="57"/>
    </row>
    <row r="1603" spans="8:12" x14ac:dyDescent="0.2">
      <c r="H1603" s="57"/>
      <c r="J1603" s="48"/>
      <c r="K1603" s="64"/>
      <c r="L1603" s="57"/>
    </row>
    <row r="1604" spans="8:12" x14ac:dyDescent="0.2">
      <c r="H1604" s="57"/>
      <c r="J1604" s="48"/>
      <c r="K1604" s="64"/>
      <c r="L1604" s="57"/>
    </row>
    <row r="1605" spans="8:12" x14ac:dyDescent="0.2">
      <c r="H1605" s="57"/>
      <c r="J1605" s="48"/>
      <c r="K1605" s="64"/>
      <c r="L1605" s="57"/>
    </row>
    <row r="1606" spans="8:12" x14ac:dyDescent="0.2">
      <c r="H1606" s="57"/>
      <c r="J1606" s="48"/>
      <c r="K1606" s="64"/>
      <c r="L1606" s="57"/>
    </row>
    <row r="1607" spans="8:12" x14ac:dyDescent="0.2">
      <c r="H1607" s="57"/>
      <c r="J1607" s="48"/>
      <c r="K1607" s="64"/>
      <c r="L1607" s="57"/>
    </row>
    <row r="1608" spans="8:12" x14ac:dyDescent="0.2">
      <c r="H1608" s="57"/>
      <c r="J1608" s="48"/>
      <c r="K1608" s="64"/>
      <c r="L1608" s="57"/>
    </row>
    <row r="1609" spans="8:12" x14ac:dyDescent="0.2">
      <c r="H1609" s="57"/>
      <c r="J1609" s="48"/>
      <c r="K1609" s="64"/>
      <c r="L1609" s="57"/>
    </row>
    <row r="1610" spans="8:12" x14ac:dyDescent="0.2">
      <c r="H1610" s="57"/>
      <c r="J1610" s="48"/>
      <c r="K1610" s="64"/>
      <c r="L1610" s="57"/>
    </row>
    <row r="1611" spans="8:12" x14ac:dyDescent="0.2">
      <c r="H1611" s="57"/>
      <c r="J1611" s="48"/>
      <c r="K1611" s="64"/>
      <c r="L1611" s="57"/>
    </row>
    <row r="1612" spans="8:12" x14ac:dyDescent="0.2">
      <c r="H1612" s="57"/>
      <c r="J1612" s="48"/>
      <c r="K1612" s="64"/>
      <c r="L1612" s="57"/>
    </row>
    <row r="1613" spans="8:12" x14ac:dyDescent="0.2">
      <c r="H1613" s="57"/>
      <c r="J1613" s="48"/>
      <c r="K1613" s="64"/>
      <c r="L1613" s="57"/>
    </row>
    <row r="1614" spans="8:12" x14ac:dyDescent="0.2">
      <c r="H1614" s="57"/>
      <c r="J1614" s="48"/>
      <c r="K1614" s="64"/>
      <c r="L1614" s="57"/>
    </row>
    <row r="1615" spans="8:12" x14ac:dyDescent="0.2">
      <c r="H1615" s="57"/>
      <c r="J1615" s="48"/>
      <c r="K1615" s="64"/>
      <c r="L1615" s="57"/>
    </row>
    <row r="1616" spans="8:12" x14ac:dyDescent="0.2">
      <c r="H1616" s="57"/>
      <c r="J1616" s="48"/>
      <c r="K1616" s="64"/>
      <c r="L1616" s="57"/>
    </row>
    <row r="1617" spans="8:12" x14ac:dyDescent="0.2">
      <c r="H1617" s="57"/>
      <c r="J1617" s="48"/>
      <c r="K1617" s="64"/>
      <c r="L1617" s="57"/>
    </row>
    <row r="1618" spans="8:12" x14ac:dyDescent="0.2">
      <c r="H1618" s="57"/>
      <c r="J1618" s="48"/>
      <c r="K1618" s="64"/>
      <c r="L1618" s="57"/>
    </row>
    <row r="1619" spans="8:12" x14ac:dyDescent="0.2">
      <c r="H1619" s="57"/>
      <c r="J1619" s="48"/>
      <c r="K1619" s="64"/>
      <c r="L1619" s="57"/>
    </row>
    <row r="1620" spans="8:12" x14ac:dyDescent="0.2">
      <c r="H1620" s="57"/>
      <c r="J1620" s="48"/>
      <c r="K1620" s="64"/>
      <c r="L1620" s="57"/>
    </row>
    <row r="1621" spans="8:12" x14ac:dyDescent="0.2">
      <c r="H1621" s="57"/>
      <c r="J1621" s="48"/>
      <c r="K1621" s="64"/>
      <c r="L1621" s="57"/>
    </row>
    <row r="1622" spans="8:12" x14ac:dyDescent="0.2">
      <c r="H1622" s="57"/>
      <c r="J1622" s="48"/>
      <c r="K1622" s="64"/>
      <c r="L1622" s="57"/>
    </row>
    <row r="1623" spans="8:12" x14ac:dyDescent="0.2">
      <c r="H1623" s="57"/>
      <c r="J1623" s="48"/>
      <c r="K1623" s="64"/>
      <c r="L1623" s="57"/>
    </row>
    <row r="1624" spans="8:12" x14ac:dyDescent="0.2">
      <c r="H1624" s="57"/>
      <c r="J1624" s="48"/>
      <c r="K1624" s="64"/>
      <c r="L1624" s="57"/>
    </row>
    <row r="1625" spans="8:12" x14ac:dyDescent="0.2">
      <c r="H1625" s="57"/>
      <c r="J1625" s="48"/>
      <c r="K1625" s="64"/>
      <c r="L1625" s="57"/>
    </row>
    <row r="1626" spans="8:12" x14ac:dyDescent="0.2">
      <c r="H1626" s="57"/>
      <c r="J1626" s="48"/>
      <c r="K1626" s="64"/>
      <c r="L1626" s="57"/>
    </row>
    <row r="1627" spans="8:12" x14ac:dyDescent="0.2">
      <c r="H1627" s="57"/>
      <c r="J1627" s="48"/>
      <c r="K1627" s="64"/>
      <c r="L1627" s="57"/>
    </row>
    <row r="1628" spans="8:12" x14ac:dyDescent="0.2">
      <c r="H1628" s="57"/>
      <c r="J1628" s="48"/>
      <c r="K1628" s="64"/>
      <c r="L1628" s="57"/>
    </row>
    <row r="1629" spans="8:12" x14ac:dyDescent="0.2">
      <c r="H1629" s="57"/>
      <c r="J1629" s="48"/>
      <c r="K1629" s="64"/>
      <c r="L1629" s="57"/>
    </row>
    <row r="1630" spans="8:12" x14ac:dyDescent="0.2">
      <c r="H1630" s="57"/>
      <c r="J1630" s="48"/>
      <c r="K1630" s="64"/>
      <c r="L1630" s="57"/>
    </row>
    <row r="1631" spans="8:12" x14ac:dyDescent="0.2">
      <c r="H1631" s="57"/>
      <c r="J1631" s="48"/>
      <c r="K1631" s="64"/>
      <c r="L1631" s="57"/>
    </row>
    <row r="1632" spans="8:12" x14ac:dyDescent="0.2">
      <c r="H1632" s="57"/>
      <c r="J1632" s="48"/>
      <c r="K1632" s="64"/>
      <c r="L1632" s="57"/>
    </row>
    <row r="1633" spans="8:12" x14ac:dyDescent="0.2">
      <c r="H1633" s="57"/>
      <c r="J1633" s="48"/>
      <c r="K1633" s="64"/>
      <c r="L1633" s="57"/>
    </row>
    <row r="1634" spans="8:12" x14ac:dyDescent="0.2">
      <c r="H1634" s="57"/>
      <c r="J1634" s="48"/>
      <c r="K1634" s="64"/>
      <c r="L1634" s="57"/>
    </row>
    <row r="1635" spans="8:12" x14ac:dyDescent="0.2">
      <c r="H1635" s="57"/>
      <c r="J1635" s="48"/>
      <c r="K1635" s="64"/>
      <c r="L1635" s="57"/>
    </row>
    <row r="1636" spans="8:12" x14ac:dyDescent="0.2">
      <c r="H1636" s="57"/>
      <c r="J1636" s="48"/>
      <c r="K1636" s="64"/>
      <c r="L1636" s="57"/>
    </row>
    <row r="1637" spans="8:12" x14ac:dyDescent="0.2">
      <c r="H1637" s="57"/>
      <c r="J1637" s="48"/>
      <c r="K1637" s="64"/>
      <c r="L1637" s="57"/>
    </row>
    <row r="1638" spans="8:12" x14ac:dyDescent="0.2">
      <c r="H1638" s="57"/>
      <c r="J1638" s="48"/>
      <c r="K1638" s="64"/>
      <c r="L1638" s="57"/>
    </row>
    <row r="1639" spans="8:12" x14ac:dyDescent="0.2">
      <c r="H1639" s="57"/>
      <c r="J1639" s="48"/>
      <c r="K1639" s="64"/>
      <c r="L1639" s="57"/>
    </row>
    <row r="1640" spans="8:12" x14ac:dyDescent="0.2">
      <c r="H1640" s="57"/>
      <c r="J1640" s="48"/>
      <c r="K1640" s="64"/>
      <c r="L1640" s="57"/>
    </row>
    <row r="1641" spans="8:12" x14ac:dyDescent="0.2">
      <c r="H1641" s="57"/>
      <c r="J1641" s="48"/>
      <c r="K1641" s="64"/>
      <c r="L1641" s="57"/>
    </row>
    <row r="1642" spans="8:12" x14ac:dyDescent="0.2">
      <c r="H1642" s="57"/>
      <c r="J1642" s="48"/>
      <c r="K1642" s="64"/>
      <c r="L1642" s="57"/>
    </row>
    <row r="1643" spans="8:12" x14ac:dyDescent="0.2">
      <c r="H1643" s="57"/>
      <c r="J1643" s="48"/>
      <c r="K1643" s="64"/>
      <c r="L1643" s="57"/>
    </row>
    <row r="1644" spans="8:12" x14ac:dyDescent="0.2">
      <c r="H1644" s="57"/>
      <c r="J1644" s="48"/>
      <c r="K1644" s="64"/>
      <c r="L1644" s="57"/>
    </row>
    <row r="1645" spans="8:12" x14ac:dyDescent="0.2">
      <c r="H1645" s="57"/>
      <c r="J1645" s="48"/>
      <c r="K1645" s="64"/>
      <c r="L1645" s="57"/>
    </row>
    <row r="1646" spans="8:12" x14ac:dyDescent="0.2">
      <c r="H1646" s="57"/>
      <c r="J1646" s="48"/>
      <c r="K1646" s="64"/>
      <c r="L1646" s="57"/>
    </row>
    <row r="1647" spans="8:12" x14ac:dyDescent="0.2">
      <c r="H1647" s="57"/>
      <c r="J1647" s="48"/>
      <c r="K1647" s="64"/>
      <c r="L1647" s="57"/>
    </row>
    <row r="1648" spans="8:12" x14ac:dyDescent="0.2">
      <c r="H1648" s="57"/>
      <c r="J1648" s="48"/>
      <c r="K1648" s="64"/>
      <c r="L1648" s="57"/>
    </row>
    <row r="1649" spans="8:12" x14ac:dyDescent="0.2">
      <c r="H1649" s="57"/>
      <c r="J1649" s="48"/>
      <c r="K1649" s="64"/>
      <c r="L1649" s="57"/>
    </row>
    <row r="1650" spans="8:12" x14ac:dyDescent="0.2">
      <c r="H1650" s="57"/>
      <c r="J1650" s="48"/>
      <c r="K1650" s="64"/>
      <c r="L1650" s="57"/>
    </row>
    <row r="1651" spans="8:12" x14ac:dyDescent="0.2">
      <c r="H1651" s="57"/>
      <c r="J1651" s="48"/>
      <c r="K1651" s="64"/>
      <c r="L1651" s="57"/>
    </row>
    <row r="1652" spans="8:12" x14ac:dyDescent="0.2">
      <c r="H1652" s="57"/>
      <c r="J1652" s="48"/>
      <c r="K1652" s="64"/>
      <c r="L1652" s="57"/>
    </row>
    <row r="1653" spans="8:12" x14ac:dyDescent="0.2">
      <c r="H1653" s="57"/>
      <c r="J1653" s="48"/>
      <c r="K1653" s="64"/>
      <c r="L1653" s="57"/>
    </row>
    <row r="1654" spans="8:12" x14ac:dyDescent="0.2">
      <c r="H1654" s="57"/>
      <c r="J1654" s="48"/>
      <c r="K1654" s="64"/>
      <c r="L1654" s="57"/>
    </row>
    <row r="1655" spans="8:12" x14ac:dyDescent="0.2">
      <c r="H1655" s="57"/>
      <c r="J1655" s="48"/>
      <c r="K1655" s="64"/>
      <c r="L1655" s="57"/>
    </row>
    <row r="1656" spans="8:12" x14ac:dyDescent="0.2">
      <c r="H1656" s="57"/>
      <c r="J1656" s="48"/>
      <c r="K1656" s="64"/>
      <c r="L1656" s="57"/>
    </row>
    <row r="1657" spans="8:12" x14ac:dyDescent="0.2">
      <c r="H1657" s="57"/>
      <c r="J1657" s="48"/>
      <c r="K1657" s="64"/>
      <c r="L1657" s="57"/>
    </row>
    <row r="1658" spans="8:12" x14ac:dyDescent="0.2">
      <c r="H1658" s="57"/>
      <c r="J1658" s="48"/>
      <c r="K1658" s="64"/>
      <c r="L1658" s="57"/>
    </row>
    <row r="1659" spans="8:12" x14ac:dyDescent="0.2">
      <c r="H1659" s="57"/>
      <c r="J1659" s="48"/>
      <c r="K1659" s="64"/>
      <c r="L1659" s="57"/>
    </row>
    <row r="1660" spans="8:12" x14ac:dyDescent="0.2">
      <c r="H1660" s="57"/>
      <c r="J1660" s="48"/>
      <c r="K1660" s="64"/>
      <c r="L1660" s="57"/>
    </row>
    <row r="1661" spans="8:12" x14ac:dyDescent="0.2">
      <c r="H1661" s="57"/>
      <c r="J1661" s="48"/>
      <c r="K1661" s="64"/>
      <c r="L1661" s="57"/>
    </row>
    <row r="1662" spans="8:12" x14ac:dyDescent="0.2">
      <c r="H1662" s="57"/>
      <c r="J1662" s="48"/>
      <c r="K1662" s="64"/>
      <c r="L1662" s="57"/>
    </row>
    <row r="1663" spans="8:12" x14ac:dyDescent="0.2">
      <c r="H1663" s="57"/>
      <c r="J1663" s="48"/>
      <c r="K1663" s="64"/>
      <c r="L1663" s="57"/>
    </row>
    <row r="1664" spans="8:12" x14ac:dyDescent="0.2">
      <c r="H1664" s="57"/>
      <c r="J1664" s="48"/>
      <c r="K1664" s="64"/>
      <c r="L1664" s="57"/>
    </row>
    <row r="1665" spans="8:12" x14ac:dyDescent="0.2">
      <c r="H1665" s="57"/>
      <c r="J1665" s="48"/>
      <c r="K1665" s="64"/>
      <c r="L1665" s="57"/>
    </row>
    <row r="1666" spans="8:12" x14ac:dyDescent="0.2">
      <c r="H1666" s="57"/>
      <c r="J1666" s="48"/>
      <c r="K1666" s="64"/>
      <c r="L1666" s="57"/>
    </row>
    <row r="1667" spans="8:12" x14ac:dyDescent="0.2">
      <c r="H1667" s="57"/>
      <c r="J1667" s="48"/>
      <c r="K1667" s="64"/>
      <c r="L1667" s="57"/>
    </row>
    <row r="1668" spans="8:12" x14ac:dyDescent="0.2">
      <c r="H1668" s="57"/>
      <c r="J1668" s="48"/>
      <c r="K1668" s="64"/>
      <c r="L1668" s="57"/>
    </row>
    <row r="1669" spans="8:12" x14ac:dyDescent="0.2">
      <c r="H1669" s="57"/>
      <c r="J1669" s="48"/>
      <c r="K1669" s="64"/>
      <c r="L1669" s="57"/>
    </row>
    <row r="1670" spans="8:12" x14ac:dyDescent="0.2">
      <c r="H1670" s="57"/>
      <c r="J1670" s="48"/>
      <c r="K1670" s="64"/>
      <c r="L1670" s="57"/>
    </row>
    <row r="1671" spans="8:12" x14ac:dyDescent="0.2">
      <c r="H1671" s="57"/>
      <c r="J1671" s="48"/>
      <c r="K1671" s="64"/>
      <c r="L1671" s="57"/>
    </row>
    <row r="1672" spans="8:12" x14ac:dyDescent="0.2">
      <c r="H1672" s="57"/>
      <c r="J1672" s="48"/>
      <c r="K1672" s="64"/>
      <c r="L1672" s="57"/>
    </row>
    <row r="1673" spans="8:12" x14ac:dyDescent="0.2">
      <c r="H1673" s="57"/>
      <c r="J1673" s="48"/>
      <c r="K1673" s="64"/>
      <c r="L1673" s="57"/>
    </row>
    <row r="1674" spans="8:12" x14ac:dyDescent="0.2">
      <c r="H1674" s="57"/>
      <c r="J1674" s="48"/>
      <c r="K1674" s="64"/>
      <c r="L1674" s="57"/>
    </row>
    <row r="1675" spans="8:12" x14ac:dyDescent="0.2">
      <c r="H1675" s="57"/>
      <c r="J1675" s="48"/>
      <c r="K1675" s="64"/>
      <c r="L1675" s="57"/>
    </row>
    <row r="1676" spans="8:12" x14ac:dyDescent="0.2">
      <c r="H1676" s="57"/>
      <c r="J1676" s="48"/>
      <c r="K1676" s="64"/>
      <c r="L1676" s="57"/>
    </row>
    <row r="1677" spans="8:12" x14ac:dyDescent="0.2">
      <c r="H1677" s="57"/>
      <c r="J1677" s="48"/>
      <c r="K1677" s="64"/>
      <c r="L1677" s="57"/>
    </row>
    <row r="1678" spans="8:12" x14ac:dyDescent="0.2">
      <c r="H1678" s="57"/>
      <c r="J1678" s="48"/>
      <c r="K1678" s="64"/>
      <c r="L1678" s="57"/>
    </row>
    <row r="1679" spans="8:12" x14ac:dyDescent="0.2">
      <c r="H1679" s="57"/>
      <c r="J1679" s="48"/>
      <c r="K1679" s="64"/>
      <c r="L1679" s="57"/>
    </row>
    <row r="1680" spans="8:12" x14ac:dyDescent="0.2">
      <c r="H1680" s="57"/>
      <c r="J1680" s="48"/>
      <c r="K1680" s="64"/>
      <c r="L1680" s="57"/>
    </row>
    <row r="1681" spans="8:12" x14ac:dyDescent="0.2">
      <c r="H1681" s="57"/>
      <c r="J1681" s="48"/>
      <c r="K1681" s="64"/>
      <c r="L1681" s="57"/>
    </row>
    <row r="1682" spans="8:12" x14ac:dyDescent="0.2">
      <c r="H1682" s="57"/>
      <c r="J1682" s="48"/>
      <c r="K1682" s="64"/>
      <c r="L1682" s="57"/>
    </row>
    <row r="1683" spans="8:12" x14ac:dyDescent="0.2">
      <c r="H1683" s="57"/>
      <c r="J1683" s="48"/>
      <c r="K1683" s="64"/>
      <c r="L1683" s="57"/>
    </row>
    <row r="1684" spans="8:12" x14ac:dyDescent="0.2">
      <c r="H1684" s="57"/>
      <c r="J1684" s="48"/>
      <c r="K1684" s="64"/>
      <c r="L1684" s="57"/>
    </row>
    <row r="1685" spans="8:12" x14ac:dyDescent="0.2">
      <c r="H1685" s="57"/>
      <c r="J1685" s="48"/>
      <c r="K1685" s="64"/>
      <c r="L1685" s="57"/>
    </row>
    <row r="1686" spans="8:12" x14ac:dyDescent="0.2">
      <c r="H1686" s="57"/>
      <c r="J1686" s="48"/>
      <c r="K1686" s="64"/>
      <c r="L1686" s="57"/>
    </row>
    <row r="1687" spans="8:12" x14ac:dyDescent="0.2">
      <c r="H1687" s="57"/>
      <c r="J1687" s="48"/>
      <c r="K1687" s="64"/>
      <c r="L1687" s="57"/>
    </row>
    <row r="1688" spans="8:12" x14ac:dyDescent="0.2">
      <c r="H1688" s="57"/>
      <c r="J1688" s="48"/>
      <c r="K1688" s="64"/>
      <c r="L1688" s="57"/>
    </row>
    <row r="1689" spans="8:12" x14ac:dyDescent="0.2">
      <c r="H1689" s="57"/>
      <c r="J1689" s="48"/>
      <c r="K1689" s="64"/>
      <c r="L1689" s="57"/>
    </row>
    <row r="1690" spans="8:12" x14ac:dyDescent="0.2">
      <c r="H1690" s="57"/>
      <c r="J1690" s="48"/>
      <c r="K1690" s="64"/>
      <c r="L1690" s="57"/>
    </row>
    <row r="1691" spans="8:12" x14ac:dyDescent="0.2">
      <c r="H1691" s="57"/>
      <c r="J1691" s="48"/>
      <c r="K1691" s="64"/>
      <c r="L1691" s="57"/>
    </row>
    <row r="1692" spans="8:12" x14ac:dyDescent="0.2">
      <c r="H1692" s="57"/>
      <c r="J1692" s="48"/>
      <c r="K1692" s="64"/>
      <c r="L1692" s="57"/>
    </row>
    <row r="1693" spans="8:12" x14ac:dyDescent="0.2">
      <c r="H1693" s="57"/>
      <c r="J1693" s="48"/>
      <c r="K1693" s="64"/>
      <c r="L1693" s="57"/>
    </row>
    <row r="1694" spans="8:12" x14ac:dyDescent="0.2">
      <c r="H1694" s="57"/>
      <c r="J1694" s="48"/>
      <c r="K1694" s="64"/>
      <c r="L1694" s="57"/>
    </row>
    <row r="1695" spans="8:12" x14ac:dyDescent="0.2">
      <c r="H1695" s="57"/>
      <c r="J1695" s="48"/>
      <c r="K1695" s="64"/>
      <c r="L1695" s="57"/>
    </row>
    <row r="1696" spans="8:12" x14ac:dyDescent="0.2">
      <c r="H1696" s="57"/>
      <c r="J1696" s="48"/>
      <c r="K1696" s="64"/>
      <c r="L1696" s="57"/>
    </row>
    <row r="1697" spans="8:12" x14ac:dyDescent="0.2">
      <c r="H1697" s="57"/>
      <c r="J1697" s="48"/>
      <c r="K1697" s="64"/>
      <c r="L1697" s="57"/>
    </row>
    <row r="1698" spans="8:12" x14ac:dyDescent="0.2">
      <c r="H1698" s="57"/>
      <c r="J1698" s="48"/>
      <c r="K1698" s="64"/>
      <c r="L1698" s="57"/>
    </row>
    <row r="1699" spans="8:12" x14ac:dyDescent="0.2">
      <c r="H1699" s="57"/>
      <c r="J1699" s="48"/>
      <c r="K1699" s="64"/>
      <c r="L1699" s="57"/>
    </row>
    <row r="1700" spans="8:12" x14ac:dyDescent="0.2">
      <c r="H1700" s="57"/>
      <c r="J1700" s="48"/>
      <c r="K1700" s="64"/>
      <c r="L1700" s="57"/>
    </row>
    <row r="1701" spans="8:12" x14ac:dyDescent="0.2">
      <c r="H1701" s="57"/>
      <c r="J1701" s="48"/>
      <c r="K1701" s="64"/>
      <c r="L1701" s="57"/>
    </row>
    <row r="1702" spans="8:12" x14ac:dyDescent="0.2">
      <c r="H1702" s="57"/>
      <c r="J1702" s="48"/>
      <c r="K1702" s="64"/>
      <c r="L1702" s="57"/>
    </row>
    <row r="1703" spans="8:12" x14ac:dyDescent="0.2">
      <c r="H1703" s="57"/>
      <c r="J1703" s="48"/>
      <c r="K1703" s="64"/>
      <c r="L1703" s="57"/>
    </row>
    <row r="1704" spans="8:12" x14ac:dyDescent="0.2">
      <c r="H1704" s="57"/>
      <c r="J1704" s="48"/>
      <c r="K1704" s="64"/>
      <c r="L1704" s="57"/>
    </row>
    <row r="1705" spans="8:12" x14ac:dyDescent="0.2">
      <c r="H1705" s="57"/>
      <c r="J1705" s="48"/>
      <c r="K1705" s="64"/>
      <c r="L1705" s="57"/>
    </row>
    <row r="1706" spans="8:12" x14ac:dyDescent="0.2">
      <c r="H1706" s="57"/>
      <c r="J1706" s="48"/>
      <c r="K1706" s="64"/>
      <c r="L1706" s="57"/>
    </row>
    <row r="1707" spans="8:12" x14ac:dyDescent="0.2">
      <c r="H1707" s="57"/>
      <c r="J1707" s="48"/>
      <c r="K1707" s="64"/>
      <c r="L1707" s="57"/>
    </row>
    <row r="1708" spans="8:12" x14ac:dyDescent="0.2">
      <c r="H1708" s="57"/>
      <c r="J1708" s="48"/>
      <c r="K1708" s="64"/>
      <c r="L1708" s="57"/>
    </row>
    <row r="1709" spans="8:12" x14ac:dyDescent="0.2">
      <c r="H1709" s="57"/>
      <c r="J1709" s="48"/>
      <c r="K1709" s="64"/>
      <c r="L1709" s="57"/>
    </row>
    <row r="1710" spans="8:12" x14ac:dyDescent="0.2">
      <c r="H1710" s="57"/>
      <c r="J1710" s="48"/>
      <c r="K1710" s="64"/>
      <c r="L1710" s="57"/>
    </row>
    <row r="1711" spans="8:12" x14ac:dyDescent="0.2">
      <c r="H1711" s="57"/>
      <c r="J1711" s="48"/>
      <c r="K1711" s="64"/>
      <c r="L1711" s="57"/>
    </row>
    <row r="1712" spans="8:12" x14ac:dyDescent="0.2">
      <c r="H1712" s="57"/>
      <c r="J1712" s="48"/>
      <c r="K1712" s="64"/>
      <c r="L1712" s="57"/>
    </row>
    <row r="1713" spans="8:12" x14ac:dyDescent="0.2">
      <c r="H1713" s="57"/>
      <c r="J1713" s="48"/>
      <c r="K1713" s="64"/>
      <c r="L1713" s="57"/>
    </row>
    <row r="1714" spans="8:12" x14ac:dyDescent="0.2">
      <c r="H1714" s="57"/>
      <c r="J1714" s="48"/>
      <c r="K1714" s="64"/>
      <c r="L1714" s="57"/>
    </row>
    <row r="1715" spans="8:12" x14ac:dyDescent="0.2">
      <c r="H1715" s="57"/>
      <c r="J1715" s="48"/>
      <c r="K1715" s="64"/>
      <c r="L1715" s="57"/>
    </row>
    <row r="1716" spans="8:12" x14ac:dyDescent="0.2">
      <c r="H1716" s="57"/>
      <c r="J1716" s="48"/>
      <c r="K1716" s="64"/>
      <c r="L1716" s="57"/>
    </row>
    <row r="1717" spans="8:12" x14ac:dyDescent="0.2">
      <c r="H1717" s="57"/>
      <c r="J1717" s="48"/>
      <c r="K1717" s="64"/>
      <c r="L1717" s="57"/>
    </row>
    <row r="1718" spans="8:12" x14ac:dyDescent="0.2">
      <c r="H1718" s="57"/>
      <c r="J1718" s="48"/>
      <c r="K1718" s="64"/>
      <c r="L1718" s="57"/>
    </row>
    <row r="1719" spans="8:12" x14ac:dyDescent="0.2">
      <c r="H1719" s="57"/>
      <c r="J1719" s="48"/>
      <c r="K1719" s="64"/>
      <c r="L1719" s="57"/>
    </row>
    <row r="1720" spans="8:12" x14ac:dyDescent="0.2">
      <c r="H1720" s="57"/>
      <c r="J1720" s="48"/>
      <c r="K1720" s="64"/>
      <c r="L1720" s="57"/>
    </row>
    <row r="1721" spans="8:12" x14ac:dyDescent="0.2">
      <c r="H1721" s="57"/>
      <c r="J1721" s="48"/>
      <c r="K1721" s="64"/>
      <c r="L1721" s="57"/>
    </row>
    <row r="1722" spans="8:12" x14ac:dyDescent="0.2">
      <c r="H1722" s="57"/>
      <c r="J1722" s="48"/>
      <c r="K1722" s="64"/>
      <c r="L1722" s="57"/>
    </row>
    <row r="1723" spans="8:12" x14ac:dyDescent="0.2">
      <c r="H1723" s="57"/>
      <c r="J1723" s="48"/>
      <c r="K1723" s="64"/>
      <c r="L1723" s="57"/>
    </row>
    <row r="1724" spans="8:12" x14ac:dyDescent="0.2">
      <c r="H1724" s="57"/>
      <c r="J1724" s="48"/>
      <c r="K1724" s="64"/>
      <c r="L1724" s="57"/>
    </row>
    <row r="1725" spans="8:12" x14ac:dyDescent="0.2">
      <c r="H1725" s="57"/>
      <c r="J1725" s="48"/>
      <c r="K1725" s="64"/>
      <c r="L1725" s="57"/>
    </row>
    <row r="1726" spans="8:12" x14ac:dyDescent="0.2">
      <c r="H1726" s="57"/>
      <c r="J1726" s="48"/>
      <c r="K1726" s="64"/>
      <c r="L1726" s="57"/>
    </row>
    <row r="1727" spans="8:12" x14ac:dyDescent="0.2">
      <c r="H1727" s="57"/>
      <c r="J1727" s="48"/>
      <c r="K1727" s="64"/>
      <c r="L1727" s="57"/>
    </row>
    <row r="1728" spans="8:12" x14ac:dyDescent="0.2">
      <c r="H1728" s="57"/>
      <c r="J1728" s="48"/>
      <c r="K1728" s="64"/>
      <c r="L1728" s="57"/>
    </row>
    <row r="1729" spans="8:12" x14ac:dyDescent="0.2">
      <c r="H1729" s="57"/>
      <c r="J1729" s="48"/>
      <c r="K1729" s="64"/>
      <c r="L1729" s="57"/>
    </row>
    <row r="1730" spans="8:12" x14ac:dyDescent="0.2">
      <c r="H1730" s="57"/>
      <c r="J1730" s="48"/>
      <c r="K1730" s="64"/>
      <c r="L1730" s="57"/>
    </row>
    <row r="1731" spans="8:12" x14ac:dyDescent="0.2">
      <c r="H1731" s="57"/>
      <c r="J1731" s="48"/>
      <c r="K1731" s="64"/>
      <c r="L1731" s="57"/>
    </row>
    <row r="1732" spans="8:12" x14ac:dyDescent="0.2">
      <c r="H1732" s="57"/>
      <c r="J1732" s="48"/>
      <c r="K1732" s="64"/>
      <c r="L1732" s="57"/>
    </row>
    <row r="1733" spans="8:12" x14ac:dyDescent="0.2">
      <c r="H1733" s="57"/>
      <c r="J1733" s="48"/>
      <c r="K1733" s="64"/>
      <c r="L1733" s="57"/>
    </row>
    <row r="1734" spans="8:12" x14ac:dyDescent="0.2">
      <c r="H1734" s="57"/>
      <c r="J1734" s="48"/>
      <c r="K1734" s="64"/>
      <c r="L1734" s="57"/>
    </row>
    <row r="1735" spans="8:12" x14ac:dyDescent="0.2">
      <c r="H1735" s="57"/>
      <c r="J1735" s="48"/>
      <c r="K1735" s="64"/>
      <c r="L1735" s="57"/>
    </row>
    <row r="1736" spans="8:12" x14ac:dyDescent="0.2">
      <c r="H1736" s="57"/>
      <c r="J1736" s="48"/>
      <c r="K1736" s="64"/>
      <c r="L1736" s="57"/>
    </row>
    <row r="1737" spans="8:12" x14ac:dyDescent="0.2">
      <c r="H1737" s="57"/>
      <c r="J1737" s="48"/>
      <c r="K1737" s="64"/>
      <c r="L1737" s="57"/>
    </row>
    <row r="1738" spans="8:12" x14ac:dyDescent="0.2">
      <c r="H1738" s="57"/>
      <c r="J1738" s="48"/>
      <c r="K1738" s="64"/>
      <c r="L1738" s="57"/>
    </row>
    <row r="1739" spans="8:12" x14ac:dyDescent="0.2">
      <c r="H1739" s="57"/>
      <c r="J1739" s="48"/>
      <c r="K1739" s="64"/>
      <c r="L1739" s="57"/>
    </row>
    <row r="1740" spans="8:12" x14ac:dyDescent="0.2">
      <c r="H1740" s="57"/>
      <c r="J1740" s="48"/>
      <c r="K1740" s="64"/>
      <c r="L1740" s="57"/>
    </row>
    <row r="1741" spans="8:12" x14ac:dyDescent="0.2">
      <c r="H1741" s="57"/>
      <c r="J1741" s="48"/>
      <c r="K1741" s="64"/>
      <c r="L1741" s="57"/>
    </row>
    <row r="1742" spans="8:12" x14ac:dyDescent="0.2">
      <c r="H1742" s="57"/>
      <c r="J1742" s="48"/>
      <c r="K1742" s="64"/>
      <c r="L1742" s="57"/>
    </row>
    <row r="1743" spans="8:12" x14ac:dyDescent="0.2">
      <c r="H1743" s="57"/>
      <c r="J1743" s="48"/>
      <c r="K1743" s="64"/>
      <c r="L1743" s="57"/>
    </row>
    <row r="1744" spans="8:12" x14ac:dyDescent="0.2">
      <c r="H1744" s="57"/>
      <c r="J1744" s="48"/>
      <c r="K1744" s="64"/>
      <c r="L1744" s="57"/>
    </row>
    <row r="1745" spans="8:12" x14ac:dyDescent="0.2">
      <c r="H1745" s="57"/>
      <c r="J1745" s="48"/>
      <c r="K1745" s="64"/>
      <c r="L1745" s="57"/>
    </row>
    <row r="1746" spans="8:12" x14ac:dyDescent="0.2">
      <c r="H1746" s="57"/>
      <c r="J1746" s="48"/>
      <c r="K1746" s="64"/>
      <c r="L1746" s="57"/>
    </row>
    <row r="1747" spans="8:12" x14ac:dyDescent="0.2">
      <c r="H1747" s="57"/>
      <c r="J1747" s="48"/>
      <c r="K1747" s="64"/>
      <c r="L1747" s="57"/>
    </row>
    <row r="1748" spans="8:12" x14ac:dyDescent="0.2">
      <c r="H1748" s="57"/>
      <c r="J1748" s="48"/>
      <c r="K1748" s="64"/>
      <c r="L1748" s="57"/>
    </row>
    <row r="1749" spans="8:12" x14ac:dyDescent="0.2">
      <c r="H1749" s="57"/>
      <c r="J1749" s="48"/>
      <c r="K1749" s="64"/>
      <c r="L1749" s="57"/>
    </row>
    <row r="1750" spans="8:12" x14ac:dyDescent="0.2">
      <c r="H1750" s="57"/>
      <c r="J1750" s="48"/>
      <c r="K1750" s="64"/>
      <c r="L1750" s="57"/>
    </row>
    <row r="1751" spans="8:12" x14ac:dyDescent="0.2">
      <c r="H1751" s="57"/>
      <c r="J1751" s="48"/>
      <c r="K1751" s="64"/>
      <c r="L1751" s="57"/>
    </row>
    <row r="1752" spans="8:12" x14ac:dyDescent="0.2">
      <c r="H1752" s="57"/>
      <c r="J1752" s="48"/>
      <c r="K1752" s="64"/>
      <c r="L1752" s="57"/>
    </row>
    <row r="1753" spans="8:12" x14ac:dyDescent="0.2">
      <c r="H1753" s="57"/>
      <c r="J1753" s="48"/>
      <c r="K1753" s="64"/>
      <c r="L1753" s="57"/>
    </row>
    <row r="1754" spans="8:12" x14ac:dyDescent="0.2">
      <c r="H1754" s="57"/>
      <c r="J1754" s="48"/>
      <c r="K1754" s="64"/>
      <c r="L1754" s="57"/>
    </row>
    <row r="1755" spans="8:12" x14ac:dyDescent="0.2">
      <c r="H1755" s="57"/>
      <c r="J1755" s="48"/>
      <c r="K1755" s="64"/>
      <c r="L1755" s="57"/>
    </row>
    <row r="1756" spans="8:12" x14ac:dyDescent="0.2">
      <c r="H1756" s="57"/>
      <c r="J1756" s="48"/>
      <c r="K1756" s="64"/>
      <c r="L1756" s="57"/>
    </row>
    <row r="1757" spans="8:12" x14ac:dyDescent="0.2">
      <c r="H1757" s="57"/>
      <c r="J1757" s="48"/>
      <c r="K1757" s="64"/>
      <c r="L1757" s="57"/>
    </row>
    <row r="1758" spans="8:12" x14ac:dyDescent="0.2">
      <c r="H1758" s="57"/>
      <c r="J1758" s="48"/>
      <c r="K1758" s="64"/>
      <c r="L1758" s="57"/>
    </row>
    <row r="1759" spans="8:12" x14ac:dyDescent="0.2">
      <c r="H1759" s="57"/>
      <c r="J1759" s="48"/>
      <c r="K1759" s="64"/>
      <c r="L1759" s="57"/>
    </row>
    <row r="1760" spans="8:12" x14ac:dyDescent="0.2">
      <c r="H1760" s="57"/>
      <c r="J1760" s="48"/>
      <c r="K1760" s="64"/>
      <c r="L1760" s="57"/>
    </row>
    <row r="1761" spans="8:12" x14ac:dyDescent="0.2">
      <c r="H1761" s="57"/>
      <c r="J1761" s="48"/>
      <c r="K1761" s="64"/>
      <c r="L1761" s="57"/>
    </row>
    <row r="1762" spans="8:12" x14ac:dyDescent="0.2">
      <c r="H1762" s="57"/>
      <c r="J1762" s="48"/>
      <c r="K1762" s="64"/>
      <c r="L1762" s="57"/>
    </row>
    <row r="1763" spans="8:12" x14ac:dyDescent="0.2">
      <c r="H1763" s="57"/>
      <c r="J1763" s="48"/>
      <c r="K1763" s="64"/>
      <c r="L1763" s="57"/>
    </row>
    <row r="1764" spans="8:12" x14ac:dyDescent="0.2">
      <c r="H1764" s="57"/>
      <c r="J1764" s="48"/>
      <c r="K1764" s="64"/>
      <c r="L1764" s="57"/>
    </row>
    <row r="1765" spans="8:12" x14ac:dyDescent="0.2">
      <c r="H1765" s="57"/>
      <c r="J1765" s="48"/>
      <c r="K1765" s="64"/>
      <c r="L1765" s="57"/>
    </row>
    <row r="1766" spans="8:12" x14ac:dyDescent="0.2">
      <c r="H1766" s="57"/>
      <c r="J1766" s="48"/>
      <c r="K1766" s="64"/>
      <c r="L1766" s="57"/>
    </row>
    <row r="1767" spans="8:12" x14ac:dyDescent="0.2">
      <c r="H1767" s="57"/>
      <c r="J1767" s="48"/>
      <c r="K1767" s="64"/>
      <c r="L1767" s="57"/>
    </row>
    <row r="1768" spans="8:12" x14ac:dyDescent="0.2">
      <c r="H1768" s="57"/>
      <c r="J1768" s="48"/>
      <c r="K1768" s="64"/>
      <c r="L1768" s="57"/>
    </row>
    <row r="1769" spans="8:12" x14ac:dyDescent="0.2">
      <c r="H1769" s="57"/>
      <c r="J1769" s="48"/>
      <c r="K1769" s="64"/>
      <c r="L1769" s="57"/>
    </row>
    <row r="1770" spans="8:12" x14ac:dyDescent="0.2">
      <c r="H1770" s="57"/>
      <c r="J1770" s="48"/>
      <c r="K1770" s="64"/>
      <c r="L1770" s="57"/>
    </row>
    <row r="1771" spans="8:12" x14ac:dyDescent="0.2">
      <c r="H1771" s="57"/>
      <c r="J1771" s="48"/>
      <c r="K1771" s="64"/>
      <c r="L1771" s="57"/>
    </row>
    <row r="1772" spans="8:12" x14ac:dyDescent="0.2">
      <c r="H1772" s="57"/>
      <c r="J1772" s="48"/>
      <c r="K1772" s="64"/>
      <c r="L1772" s="57"/>
    </row>
    <row r="1773" spans="8:12" x14ac:dyDescent="0.2">
      <c r="H1773" s="57"/>
      <c r="J1773" s="48"/>
      <c r="K1773" s="64"/>
      <c r="L1773" s="57"/>
    </row>
    <row r="1774" spans="8:12" x14ac:dyDescent="0.2">
      <c r="H1774" s="57"/>
      <c r="J1774" s="48"/>
      <c r="K1774" s="64"/>
      <c r="L1774" s="57"/>
    </row>
    <row r="1775" spans="8:12" x14ac:dyDescent="0.2">
      <c r="H1775" s="57"/>
      <c r="J1775" s="48"/>
      <c r="K1775" s="64"/>
      <c r="L1775" s="57"/>
    </row>
    <row r="1776" spans="8:12" x14ac:dyDescent="0.2">
      <c r="H1776" s="57"/>
      <c r="J1776" s="48"/>
      <c r="K1776" s="64"/>
      <c r="L1776" s="57"/>
    </row>
    <row r="1777" spans="8:12" x14ac:dyDescent="0.2">
      <c r="H1777" s="57"/>
      <c r="J1777" s="48"/>
      <c r="K1777" s="64"/>
      <c r="L1777" s="57"/>
    </row>
    <row r="1778" spans="8:12" x14ac:dyDescent="0.2">
      <c r="H1778" s="57"/>
      <c r="J1778" s="48"/>
      <c r="K1778" s="64"/>
      <c r="L1778" s="57"/>
    </row>
    <row r="1779" spans="8:12" x14ac:dyDescent="0.2">
      <c r="H1779" s="57"/>
      <c r="J1779" s="48"/>
      <c r="K1779" s="64"/>
      <c r="L1779" s="57"/>
    </row>
    <row r="1780" spans="8:12" x14ac:dyDescent="0.2">
      <c r="H1780" s="57"/>
      <c r="J1780" s="48"/>
      <c r="K1780" s="64"/>
      <c r="L1780" s="57"/>
    </row>
    <row r="1781" spans="8:12" x14ac:dyDescent="0.2">
      <c r="H1781" s="57"/>
      <c r="J1781" s="48"/>
      <c r="K1781" s="64"/>
      <c r="L1781" s="57"/>
    </row>
    <row r="1782" spans="8:12" x14ac:dyDescent="0.2">
      <c r="H1782" s="57"/>
      <c r="J1782" s="48"/>
      <c r="K1782" s="64"/>
      <c r="L1782" s="57"/>
    </row>
    <row r="1783" spans="8:12" x14ac:dyDescent="0.2">
      <c r="H1783" s="57"/>
      <c r="J1783" s="48"/>
      <c r="K1783" s="64"/>
      <c r="L1783" s="57"/>
    </row>
    <row r="1784" spans="8:12" x14ac:dyDescent="0.2">
      <c r="H1784" s="57"/>
      <c r="J1784" s="48"/>
      <c r="K1784" s="64"/>
      <c r="L1784" s="57"/>
    </row>
    <row r="1785" spans="8:12" x14ac:dyDescent="0.2">
      <c r="H1785" s="57"/>
      <c r="J1785" s="48"/>
      <c r="K1785" s="64"/>
      <c r="L1785" s="57"/>
    </row>
    <row r="1786" spans="8:12" x14ac:dyDescent="0.2">
      <c r="H1786" s="57"/>
      <c r="J1786" s="48"/>
      <c r="K1786" s="64"/>
      <c r="L1786" s="57"/>
    </row>
    <row r="1787" spans="8:12" x14ac:dyDescent="0.2">
      <c r="H1787" s="57"/>
      <c r="J1787" s="48"/>
      <c r="K1787" s="64"/>
      <c r="L1787" s="57"/>
    </row>
    <row r="1788" spans="8:12" x14ac:dyDescent="0.2">
      <c r="H1788" s="57"/>
      <c r="J1788" s="48"/>
      <c r="K1788" s="64"/>
      <c r="L1788" s="57"/>
    </row>
    <row r="1789" spans="8:12" x14ac:dyDescent="0.2">
      <c r="H1789" s="57"/>
      <c r="J1789" s="48"/>
      <c r="K1789" s="64"/>
      <c r="L1789" s="57"/>
    </row>
    <row r="1790" spans="8:12" x14ac:dyDescent="0.2">
      <c r="H1790" s="57"/>
      <c r="J1790" s="48"/>
      <c r="K1790" s="64"/>
      <c r="L1790" s="57"/>
    </row>
    <row r="1791" spans="8:12" x14ac:dyDescent="0.2">
      <c r="H1791" s="57"/>
      <c r="J1791" s="48"/>
      <c r="K1791" s="64"/>
      <c r="L1791" s="57"/>
    </row>
    <row r="1792" spans="8:12" x14ac:dyDescent="0.2">
      <c r="H1792" s="57"/>
      <c r="J1792" s="48"/>
      <c r="K1792" s="64"/>
      <c r="L1792" s="57"/>
    </row>
    <row r="1793" spans="8:12" x14ac:dyDescent="0.2">
      <c r="H1793" s="57"/>
      <c r="J1793" s="48"/>
      <c r="K1793" s="64"/>
      <c r="L1793" s="57"/>
    </row>
    <row r="1794" spans="8:12" x14ac:dyDescent="0.2">
      <c r="H1794" s="57"/>
      <c r="J1794" s="48"/>
      <c r="K1794" s="64"/>
      <c r="L1794" s="57"/>
    </row>
    <row r="1795" spans="8:12" x14ac:dyDescent="0.2">
      <c r="H1795" s="57"/>
      <c r="J1795" s="48"/>
      <c r="K1795" s="64"/>
      <c r="L1795" s="57"/>
    </row>
    <row r="1796" spans="8:12" x14ac:dyDescent="0.2">
      <c r="H1796" s="57"/>
      <c r="J1796" s="48"/>
      <c r="K1796" s="64"/>
      <c r="L1796" s="57"/>
    </row>
    <row r="1797" spans="8:12" x14ac:dyDescent="0.2">
      <c r="H1797" s="57"/>
      <c r="J1797" s="48"/>
      <c r="K1797" s="64"/>
      <c r="L1797" s="57"/>
    </row>
    <row r="1798" spans="8:12" x14ac:dyDescent="0.2">
      <c r="H1798" s="57"/>
      <c r="J1798" s="48"/>
      <c r="K1798" s="64"/>
      <c r="L1798" s="57"/>
    </row>
    <row r="1799" spans="8:12" x14ac:dyDescent="0.2">
      <c r="H1799" s="57"/>
      <c r="J1799" s="48"/>
      <c r="K1799" s="64"/>
      <c r="L1799" s="57"/>
    </row>
    <row r="1800" spans="8:12" x14ac:dyDescent="0.2">
      <c r="H1800" s="57"/>
      <c r="J1800" s="48"/>
      <c r="K1800" s="64"/>
      <c r="L1800" s="57"/>
    </row>
    <row r="1801" spans="8:12" x14ac:dyDescent="0.2">
      <c r="H1801" s="57"/>
      <c r="J1801" s="48"/>
      <c r="K1801" s="64"/>
      <c r="L1801" s="57"/>
    </row>
    <row r="1802" spans="8:12" x14ac:dyDescent="0.2">
      <c r="H1802" s="57"/>
      <c r="J1802" s="48"/>
      <c r="K1802" s="64"/>
      <c r="L1802" s="57"/>
    </row>
    <row r="1803" spans="8:12" x14ac:dyDescent="0.2">
      <c r="H1803" s="57"/>
      <c r="J1803" s="48"/>
      <c r="K1803" s="64"/>
      <c r="L1803" s="57"/>
    </row>
    <row r="1804" spans="8:12" x14ac:dyDescent="0.2">
      <c r="H1804" s="57"/>
      <c r="J1804" s="48"/>
      <c r="K1804" s="64"/>
      <c r="L1804" s="57"/>
    </row>
    <row r="1805" spans="8:12" x14ac:dyDescent="0.2">
      <c r="H1805" s="57"/>
      <c r="J1805" s="48"/>
      <c r="K1805" s="64"/>
      <c r="L1805" s="57"/>
    </row>
    <row r="1806" spans="8:12" x14ac:dyDescent="0.2">
      <c r="H1806" s="57"/>
      <c r="J1806" s="48"/>
      <c r="K1806" s="64"/>
      <c r="L1806" s="57"/>
    </row>
    <row r="1807" spans="8:12" x14ac:dyDescent="0.2">
      <c r="H1807" s="57"/>
      <c r="J1807" s="48"/>
      <c r="K1807" s="64"/>
      <c r="L1807" s="57"/>
    </row>
    <row r="1808" spans="8:12" x14ac:dyDescent="0.2">
      <c r="H1808" s="57"/>
      <c r="J1808" s="48"/>
      <c r="K1808" s="64"/>
      <c r="L1808" s="57"/>
    </row>
    <row r="1809" spans="8:12" x14ac:dyDescent="0.2">
      <c r="H1809" s="57"/>
      <c r="J1809" s="48"/>
      <c r="K1809" s="64"/>
      <c r="L1809" s="57"/>
    </row>
    <row r="1810" spans="8:12" x14ac:dyDescent="0.2">
      <c r="H1810" s="57"/>
      <c r="J1810" s="48"/>
      <c r="K1810" s="64"/>
      <c r="L1810" s="57"/>
    </row>
    <row r="1811" spans="8:12" x14ac:dyDescent="0.2">
      <c r="H1811" s="57"/>
      <c r="J1811" s="48"/>
      <c r="K1811" s="64"/>
      <c r="L1811" s="57"/>
    </row>
    <row r="1812" spans="8:12" x14ac:dyDescent="0.2">
      <c r="H1812" s="57"/>
      <c r="J1812" s="48"/>
      <c r="K1812" s="64"/>
      <c r="L1812" s="57"/>
    </row>
    <row r="1813" spans="8:12" x14ac:dyDescent="0.2">
      <c r="H1813" s="57"/>
      <c r="J1813" s="48"/>
      <c r="K1813" s="64"/>
      <c r="L1813" s="57"/>
    </row>
    <row r="1814" spans="8:12" x14ac:dyDescent="0.2">
      <c r="H1814" s="57"/>
      <c r="J1814" s="48"/>
      <c r="K1814" s="64"/>
      <c r="L1814" s="57"/>
    </row>
    <row r="1815" spans="8:12" x14ac:dyDescent="0.2">
      <c r="H1815" s="57"/>
      <c r="J1815" s="48"/>
      <c r="K1815" s="64"/>
      <c r="L1815" s="57"/>
    </row>
    <row r="1816" spans="8:12" x14ac:dyDescent="0.2">
      <c r="H1816" s="57"/>
      <c r="J1816" s="48"/>
      <c r="K1816" s="64"/>
      <c r="L1816" s="57"/>
    </row>
    <row r="1817" spans="8:12" x14ac:dyDescent="0.2">
      <c r="H1817" s="57"/>
      <c r="J1817" s="48"/>
      <c r="K1817" s="64"/>
      <c r="L1817" s="57"/>
    </row>
    <row r="1818" spans="8:12" x14ac:dyDescent="0.2">
      <c r="H1818" s="57"/>
      <c r="J1818" s="48"/>
      <c r="K1818" s="64"/>
      <c r="L1818" s="57"/>
    </row>
    <row r="1819" spans="8:12" x14ac:dyDescent="0.2">
      <c r="H1819" s="57"/>
      <c r="J1819" s="48"/>
      <c r="K1819" s="64"/>
      <c r="L1819" s="57"/>
    </row>
    <row r="1820" spans="8:12" x14ac:dyDescent="0.2">
      <c r="H1820" s="57"/>
      <c r="J1820" s="48"/>
      <c r="K1820" s="64"/>
      <c r="L1820" s="57"/>
    </row>
    <row r="1821" spans="8:12" x14ac:dyDescent="0.2">
      <c r="H1821" s="57"/>
      <c r="J1821" s="48"/>
      <c r="K1821" s="64"/>
      <c r="L1821" s="57"/>
    </row>
    <row r="1822" spans="8:12" x14ac:dyDescent="0.2">
      <c r="H1822" s="57"/>
      <c r="J1822" s="48"/>
      <c r="K1822" s="64"/>
      <c r="L1822" s="57"/>
    </row>
    <row r="1823" spans="8:12" x14ac:dyDescent="0.2">
      <c r="H1823" s="57"/>
      <c r="J1823" s="48"/>
      <c r="K1823" s="64"/>
      <c r="L1823" s="57"/>
    </row>
    <row r="1824" spans="8:12" x14ac:dyDescent="0.2">
      <c r="H1824" s="57"/>
      <c r="J1824" s="48"/>
      <c r="K1824" s="64"/>
      <c r="L1824" s="57"/>
    </row>
    <row r="1825" spans="8:12" x14ac:dyDescent="0.2">
      <c r="H1825" s="57"/>
      <c r="J1825" s="48"/>
      <c r="K1825" s="64"/>
      <c r="L1825" s="57"/>
    </row>
    <row r="1826" spans="8:12" x14ac:dyDescent="0.2">
      <c r="H1826" s="57"/>
      <c r="J1826" s="48"/>
      <c r="K1826" s="64"/>
      <c r="L1826" s="57"/>
    </row>
    <row r="1827" spans="8:12" x14ac:dyDescent="0.2">
      <c r="H1827" s="57"/>
      <c r="J1827" s="48"/>
      <c r="K1827" s="64"/>
      <c r="L1827" s="57"/>
    </row>
    <row r="1828" spans="8:12" x14ac:dyDescent="0.2">
      <c r="H1828" s="57"/>
      <c r="J1828" s="48"/>
      <c r="K1828" s="64"/>
      <c r="L1828" s="57"/>
    </row>
    <row r="1829" spans="8:12" x14ac:dyDescent="0.2">
      <c r="H1829" s="57"/>
      <c r="J1829" s="48"/>
      <c r="K1829" s="64"/>
      <c r="L1829" s="57"/>
    </row>
    <row r="1830" spans="8:12" x14ac:dyDescent="0.2">
      <c r="H1830" s="57"/>
      <c r="J1830" s="48"/>
      <c r="K1830" s="64"/>
      <c r="L1830" s="57"/>
    </row>
    <row r="1831" spans="8:12" x14ac:dyDescent="0.2">
      <c r="H1831" s="57"/>
      <c r="J1831" s="48"/>
      <c r="K1831" s="64"/>
      <c r="L1831" s="57"/>
    </row>
    <row r="1832" spans="8:12" x14ac:dyDescent="0.2">
      <c r="H1832" s="57"/>
      <c r="J1832" s="48"/>
      <c r="K1832" s="64"/>
      <c r="L1832" s="57"/>
    </row>
    <row r="1833" spans="8:12" x14ac:dyDescent="0.2">
      <c r="H1833" s="57"/>
      <c r="J1833" s="48"/>
      <c r="K1833" s="64"/>
      <c r="L1833" s="57"/>
    </row>
    <row r="1834" spans="8:12" x14ac:dyDescent="0.2">
      <c r="H1834" s="57"/>
      <c r="J1834" s="48"/>
      <c r="K1834" s="64"/>
      <c r="L1834" s="57"/>
    </row>
    <row r="1835" spans="8:12" x14ac:dyDescent="0.2">
      <c r="H1835" s="57"/>
      <c r="J1835" s="48"/>
      <c r="K1835" s="64"/>
      <c r="L1835" s="57"/>
    </row>
    <row r="1836" spans="8:12" x14ac:dyDescent="0.2">
      <c r="H1836" s="57"/>
      <c r="J1836" s="48"/>
      <c r="K1836" s="64"/>
      <c r="L1836" s="57"/>
    </row>
    <row r="1837" spans="8:12" x14ac:dyDescent="0.2">
      <c r="H1837" s="57"/>
      <c r="J1837" s="48"/>
      <c r="K1837" s="64"/>
      <c r="L1837" s="57"/>
    </row>
    <row r="1838" spans="8:12" x14ac:dyDescent="0.2">
      <c r="H1838" s="57"/>
      <c r="J1838" s="48"/>
      <c r="K1838" s="64"/>
      <c r="L1838" s="57"/>
    </row>
    <row r="1839" spans="8:12" x14ac:dyDescent="0.2">
      <c r="H1839" s="57"/>
      <c r="J1839" s="48"/>
      <c r="K1839" s="64"/>
      <c r="L1839" s="57"/>
    </row>
    <row r="1840" spans="8:12" x14ac:dyDescent="0.2">
      <c r="H1840" s="57"/>
      <c r="J1840" s="48"/>
      <c r="K1840" s="64"/>
      <c r="L1840" s="57"/>
    </row>
    <row r="1841" spans="8:12" x14ac:dyDescent="0.2">
      <c r="H1841" s="57"/>
      <c r="J1841" s="48"/>
      <c r="K1841" s="64"/>
      <c r="L1841" s="57"/>
    </row>
    <row r="1842" spans="8:12" x14ac:dyDescent="0.2">
      <c r="H1842" s="57"/>
      <c r="J1842" s="48"/>
      <c r="K1842" s="64"/>
      <c r="L1842" s="57"/>
    </row>
    <row r="1843" spans="8:12" x14ac:dyDescent="0.2">
      <c r="H1843" s="57"/>
      <c r="J1843" s="48"/>
      <c r="K1843" s="64"/>
      <c r="L1843" s="57"/>
    </row>
    <row r="1844" spans="8:12" x14ac:dyDescent="0.2">
      <c r="H1844" s="57"/>
      <c r="J1844" s="48"/>
      <c r="K1844" s="64"/>
      <c r="L1844" s="57"/>
    </row>
    <row r="1845" spans="8:12" x14ac:dyDescent="0.2">
      <c r="H1845" s="57"/>
      <c r="J1845" s="48"/>
      <c r="K1845" s="64"/>
      <c r="L1845" s="57"/>
    </row>
    <row r="1846" spans="8:12" x14ac:dyDescent="0.2">
      <c r="H1846" s="57"/>
      <c r="J1846" s="48"/>
      <c r="K1846" s="64"/>
      <c r="L1846" s="57"/>
    </row>
    <row r="1847" spans="8:12" x14ac:dyDescent="0.2">
      <c r="H1847" s="57"/>
      <c r="J1847" s="48"/>
      <c r="K1847" s="64"/>
      <c r="L1847" s="57"/>
    </row>
    <row r="1848" spans="8:12" x14ac:dyDescent="0.2">
      <c r="H1848" s="57"/>
      <c r="J1848" s="48"/>
      <c r="K1848" s="64"/>
      <c r="L1848" s="57"/>
    </row>
  </sheetData>
  <mergeCells count="2">
    <mergeCell ref="A1:G1"/>
    <mergeCell ref="A2:K3"/>
  </mergeCells>
  <phoneticPr fontId="0" type="noConversion"/>
  <pageMargins left="0.75" right="0.75" top="1" bottom="1" header="0.5" footer="0.5"/>
  <pageSetup orientation="portrait" r:id="rId1"/>
  <headerFooter alignWithMargins="0"/>
  <ignoredErrors>
    <ignoredError sqref="E7:E21 E22:E23" formulaRange="1"/>
    <ignoredError sqref="A44 A46 C462 C483"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AD93B-4DE1-45CA-A223-E372E316A4EB}">
  <dimension ref="A1:G54"/>
  <sheetViews>
    <sheetView workbookViewId="0">
      <selection activeCell="A22" sqref="A22"/>
    </sheetView>
  </sheetViews>
  <sheetFormatPr defaultRowHeight="12.75" x14ac:dyDescent="0.2"/>
  <cols>
    <col min="1" max="1" width="73" customWidth="1"/>
    <col min="5" max="5" width="10.140625" bestFit="1" customWidth="1"/>
  </cols>
  <sheetData>
    <row r="1" spans="1:7" ht="40.15" customHeight="1" x14ac:dyDescent="0.2">
      <c r="A1" s="69" t="str">
        <f>"For the week ending "&amp;TEXT($A$5,"mmmm d")&amp;": "&amp;_xlfn.NUMBERVALUE($A$8)&amp;" barges moved down river, "&amp;IF(A11=0,"",A12) &amp;A13 &amp;"the previous week; "&amp;_xlfn.NUMBERVALUE($A$17)&amp;" grain barges unloaded in the New Orleans Region,  "&amp;IF(A20=0,"",A21)&amp;A22 &amp;"the previous week."</f>
        <v>For the week ending April 19: 352 barges moved down river, 3 more than the previous week; 575 grain barges unloaded in the New Orleans Region,  22 percent fewer than the previous week.</v>
      </c>
      <c r="E1" s="1" t="s">
        <v>0</v>
      </c>
      <c r="F1" s="70" t="str">
        <f>Data!E6</f>
        <v>Downbound grain barges Locks 27, 1, and Olmsted</v>
      </c>
      <c r="G1" s="70" t="str">
        <f>Data!F6</f>
        <v xml:space="preserve">Grain barges unloaded in New Orleans </v>
      </c>
    </row>
    <row r="2" spans="1:7" x14ac:dyDescent="0.2">
      <c r="E2" s="68">
        <f t="shared" ref="E2:E52" si="0">E3-7</f>
        <v>45402</v>
      </c>
      <c r="F2">
        <f>INDEX(Data!E:E,MATCH($E2,Data!$A:$A,0))</f>
        <v>314</v>
      </c>
      <c r="G2">
        <f>INDEX(Data!F:F,MATCH($E2,Data!$A:$A,0))</f>
        <v>542</v>
      </c>
    </row>
    <row r="3" spans="1:7" x14ac:dyDescent="0.2">
      <c r="E3" s="68">
        <f t="shared" si="0"/>
        <v>45409</v>
      </c>
      <c r="F3">
        <f>INDEX(Data!E:E,MATCH($E3,Data!$A:$A,0))</f>
        <v>308</v>
      </c>
      <c r="G3">
        <f>INDEX(Data!F:F,MATCH($E3,Data!$A:$A,0))</f>
        <v>549</v>
      </c>
    </row>
    <row r="4" spans="1:7" x14ac:dyDescent="0.2">
      <c r="A4" t="s">
        <v>45</v>
      </c>
      <c r="E4" s="68">
        <f t="shared" si="0"/>
        <v>45416</v>
      </c>
      <c r="F4">
        <f>INDEX(Data!E:E,MATCH($E4,Data!$A:$A,0))</f>
        <v>269</v>
      </c>
      <c r="G4">
        <f>INDEX(Data!F:F,MATCH($E4,Data!$A:$A,0))</f>
        <v>463</v>
      </c>
    </row>
    <row r="5" spans="1:7" x14ac:dyDescent="0.2">
      <c r="A5" s="68">
        <f>MAX(Data!A:A)</f>
        <v>45766</v>
      </c>
      <c r="E5" s="68">
        <f t="shared" si="0"/>
        <v>45423</v>
      </c>
      <c r="F5">
        <f>INDEX(Data!E:E,MATCH($E5,Data!$A:$A,0))</f>
        <v>326</v>
      </c>
      <c r="G5">
        <f>INDEX(Data!F:F,MATCH($E5,Data!$A:$A,0))</f>
        <v>594</v>
      </c>
    </row>
    <row r="6" spans="1:7" x14ac:dyDescent="0.2">
      <c r="E6" s="68">
        <f t="shared" si="0"/>
        <v>45430</v>
      </c>
      <c r="F6">
        <f>INDEX(Data!E:E,MATCH($E6,Data!$A:$A,0))</f>
        <v>458</v>
      </c>
      <c r="G6">
        <f>INDEX(Data!F:F,MATCH($E6,Data!$A:$A,0))</f>
        <v>276</v>
      </c>
    </row>
    <row r="7" spans="1:7" x14ac:dyDescent="0.2">
      <c r="A7" s="1" t="s">
        <v>46</v>
      </c>
      <c r="E7" s="68">
        <f t="shared" si="0"/>
        <v>45437</v>
      </c>
      <c r="F7">
        <f>INDEX(Data!E:E,MATCH($E7,Data!$A:$A,0))</f>
        <v>389</v>
      </c>
      <c r="G7">
        <f>INDEX(Data!F:F,MATCH($E7,Data!$A:$A,0))</f>
        <v>479</v>
      </c>
    </row>
    <row r="8" spans="1:7" x14ac:dyDescent="0.2">
      <c r="A8">
        <f>INDEX(Data!E:E,MATCH($A$5,Data!A:A,0))</f>
        <v>352</v>
      </c>
      <c r="E8" s="68">
        <f t="shared" si="0"/>
        <v>45444</v>
      </c>
      <c r="F8">
        <f>INDEX(Data!E:E,MATCH($E8,Data!$A:$A,0))</f>
        <v>389</v>
      </c>
      <c r="G8">
        <f>INDEX(Data!F:F,MATCH($E8,Data!$A:$A,0))</f>
        <v>564</v>
      </c>
    </row>
    <row r="9" spans="1:7" x14ac:dyDescent="0.2">
      <c r="E9" s="68">
        <f t="shared" si="0"/>
        <v>45451</v>
      </c>
      <c r="F9">
        <f>INDEX(Data!E:E,MATCH($E9,Data!$A:$A,0))</f>
        <v>230</v>
      </c>
      <c r="G9">
        <f>INDEX(Data!F:F,MATCH($E9,Data!$A:$A,0))</f>
        <v>498</v>
      </c>
    </row>
    <row r="10" spans="1:7" x14ac:dyDescent="0.2">
      <c r="A10" s="1" t="s">
        <v>47</v>
      </c>
      <c r="E10" s="68">
        <f t="shared" si="0"/>
        <v>45458</v>
      </c>
      <c r="F10">
        <f>INDEX(Data!E:E,MATCH($E10,Data!$A:$A,0))</f>
        <v>318</v>
      </c>
      <c r="G10">
        <f>INDEX(Data!F:F,MATCH($E10,Data!$A:$A,0))</f>
        <v>597</v>
      </c>
    </row>
    <row r="11" spans="1:7" x14ac:dyDescent="0.2">
      <c r="A11">
        <f>INDEX(Data!J:J,MATCH($A$5,Data!A:A,0))</f>
        <v>3</v>
      </c>
      <c r="E11" s="68">
        <f t="shared" si="0"/>
        <v>45465</v>
      </c>
      <c r="F11">
        <f>INDEX(Data!E:E,MATCH($E11,Data!$A:$A,0))</f>
        <v>320</v>
      </c>
      <c r="G11">
        <f>INDEX(Data!F:F,MATCH($E11,Data!$A:$A,0))</f>
        <v>306</v>
      </c>
    </row>
    <row r="12" spans="1:7" x14ac:dyDescent="0.2">
      <c r="A12">
        <f>ABS(A11)</f>
        <v>3</v>
      </c>
      <c r="E12" s="68">
        <f t="shared" si="0"/>
        <v>45472</v>
      </c>
      <c r="F12">
        <f>INDEX(Data!E:E,MATCH($E12,Data!$A:$A,0))</f>
        <v>363</v>
      </c>
      <c r="G12">
        <f>INDEX(Data!F:F,MATCH($E12,Data!$A:$A,0))</f>
        <v>336</v>
      </c>
    </row>
    <row r="13" spans="1:7" x14ac:dyDescent="0.2">
      <c r="A13" t="str">
        <f>IF(A11=0,"there is no change from ",IF(A11&gt;0," more than "," fewer than "))</f>
        <v xml:space="preserve"> more than </v>
      </c>
      <c r="E13" s="68">
        <f t="shared" si="0"/>
        <v>45479</v>
      </c>
      <c r="F13">
        <f>INDEX(Data!E:E,MATCH($E13,Data!$A:$A,0))</f>
        <v>275</v>
      </c>
      <c r="G13">
        <f>INDEX(Data!F:F,MATCH($E13,Data!$A:$A,0))</f>
        <v>447</v>
      </c>
    </row>
    <row r="14" spans="1:7" x14ac:dyDescent="0.2">
      <c r="E14" s="68">
        <f t="shared" si="0"/>
        <v>45486</v>
      </c>
      <c r="F14">
        <f>INDEX(Data!E:E,MATCH($E14,Data!$A:$A,0))</f>
        <v>185</v>
      </c>
      <c r="G14">
        <f>INDEX(Data!F:F,MATCH($E14,Data!$A:$A,0))</f>
        <v>513</v>
      </c>
    </row>
    <row r="15" spans="1:7" x14ac:dyDescent="0.2">
      <c r="E15" s="68">
        <f t="shared" si="0"/>
        <v>45493</v>
      </c>
      <c r="F15">
        <f>INDEX(Data!E:E,MATCH($E15,Data!$A:$A,0))</f>
        <v>225</v>
      </c>
      <c r="G15">
        <f>INDEX(Data!F:F,MATCH($E15,Data!$A:$A,0))</f>
        <v>401</v>
      </c>
    </row>
    <row r="16" spans="1:7" x14ac:dyDescent="0.2">
      <c r="A16" s="1" t="s">
        <v>48</v>
      </c>
      <c r="E16" s="68">
        <f t="shared" si="0"/>
        <v>45500</v>
      </c>
      <c r="F16">
        <f>INDEX(Data!E:E,MATCH($E16,Data!$A:$A,0))</f>
        <v>424</v>
      </c>
      <c r="G16">
        <f>INDEX(Data!F:F,MATCH($E16,Data!$A:$A,0))</f>
        <v>472</v>
      </c>
    </row>
    <row r="17" spans="1:7" x14ac:dyDescent="0.2">
      <c r="A17">
        <f>INDEX(Data!F:F,MATCH($A$5,Data!A:A,0))</f>
        <v>575</v>
      </c>
      <c r="E17" s="68">
        <f t="shared" si="0"/>
        <v>45507</v>
      </c>
      <c r="F17">
        <f>INDEX(Data!E:E,MATCH($E17,Data!$A:$A,0))</f>
        <v>389</v>
      </c>
      <c r="G17">
        <f>INDEX(Data!F:F,MATCH($E17,Data!$A:$A,0))</f>
        <v>593</v>
      </c>
    </row>
    <row r="18" spans="1:7" x14ac:dyDescent="0.2">
      <c r="E18" s="68">
        <f t="shared" si="0"/>
        <v>45514</v>
      </c>
      <c r="F18">
        <f>INDEX(Data!E:E,MATCH($E18,Data!$A:$A,0))</f>
        <v>501</v>
      </c>
      <c r="G18">
        <f>INDEX(Data!F:F,MATCH($E18,Data!$A:$A,0))</f>
        <v>595</v>
      </c>
    </row>
    <row r="19" spans="1:7" x14ac:dyDescent="0.2">
      <c r="A19" s="1" t="s">
        <v>49</v>
      </c>
      <c r="E19" s="68">
        <f t="shared" si="0"/>
        <v>45521</v>
      </c>
      <c r="F19">
        <f>INDEX(Data!E:E,MATCH($E19,Data!$A:$A,0))</f>
        <v>450</v>
      </c>
      <c r="G19">
        <f>INDEX(Data!F:F,MATCH($E19,Data!$A:$A,0))</f>
        <v>412</v>
      </c>
    </row>
    <row r="20" spans="1:7" x14ac:dyDescent="0.2">
      <c r="A20">
        <f>ROUND(INDEX(Data!H:H,MATCH($A$5,Data!A:A,0))*100,0)</f>
        <v>-22</v>
      </c>
      <c r="E20" s="68">
        <f>E21-7</f>
        <v>45528</v>
      </c>
      <c r="F20">
        <f>INDEX(Data!E:E,MATCH($E20,Data!$A:$A,0))</f>
        <v>384</v>
      </c>
      <c r="G20">
        <f>INDEX(Data!F:F,MATCH($E20,Data!$A:$A,0))</f>
        <v>518</v>
      </c>
    </row>
    <row r="21" spans="1:7" x14ac:dyDescent="0.2">
      <c r="A21">
        <f>ABS(A20)</f>
        <v>22</v>
      </c>
      <c r="E21" s="68">
        <f t="shared" si="0"/>
        <v>45535</v>
      </c>
      <c r="F21">
        <f>INDEX(Data!E:E,MATCH($E21,Data!$A:$A,0))</f>
        <v>357</v>
      </c>
      <c r="G21">
        <f>INDEX(Data!F:F,MATCH($E21,Data!$A:$A,0))</f>
        <v>579</v>
      </c>
    </row>
    <row r="22" spans="1:7" x14ac:dyDescent="0.2">
      <c r="A22" t="str">
        <f>IF(A20=0,"unchanged from ",IF(A20&gt;0," percent more than "," percent fewer than "))</f>
        <v xml:space="preserve"> percent fewer than </v>
      </c>
      <c r="E22" s="68">
        <f t="shared" si="0"/>
        <v>45542</v>
      </c>
      <c r="F22">
        <f>INDEX(Data!E:E,MATCH($E22,Data!$A:$A,0))</f>
        <v>266</v>
      </c>
      <c r="G22">
        <f>INDEX(Data!F:F,MATCH($E22,Data!$A:$A,0))</f>
        <v>464</v>
      </c>
    </row>
    <row r="23" spans="1:7" x14ac:dyDescent="0.2">
      <c r="E23" s="68">
        <f t="shared" si="0"/>
        <v>45549</v>
      </c>
      <c r="F23">
        <f>INDEX(Data!E:E,MATCH($E23,Data!$A:$A,0))</f>
        <v>235</v>
      </c>
      <c r="G23">
        <f>INDEX(Data!F:F,MATCH($E23,Data!$A:$A,0))</f>
        <v>379</v>
      </c>
    </row>
    <row r="24" spans="1:7" x14ac:dyDescent="0.2">
      <c r="E24" s="68">
        <f t="shared" si="0"/>
        <v>45556</v>
      </c>
      <c r="F24">
        <f>INDEX(Data!E:E,MATCH($E24,Data!$A:$A,0))</f>
        <v>312</v>
      </c>
      <c r="G24">
        <f>INDEX(Data!F:F,MATCH($E24,Data!$A:$A,0))</f>
        <v>712</v>
      </c>
    </row>
    <row r="25" spans="1:7" x14ac:dyDescent="0.2">
      <c r="E25" s="68">
        <f t="shared" si="0"/>
        <v>45563</v>
      </c>
      <c r="F25">
        <f>INDEX(Data!E:E,MATCH($E25,Data!$A:$A,0))</f>
        <v>240</v>
      </c>
      <c r="G25">
        <f>INDEX(Data!F:F,MATCH($E25,Data!$A:$A,0))</f>
        <v>846</v>
      </c>
    </row>
    <row r="26" spans="1:7" x14ac:dyDescent="0.2">
      <c r="E26" s="68">
        <f t="shared" si="0"/>
        <v>45570</v>
      </c>
      <c r="F26">
        <f>INDEX(Data!E:E,MATCH($E26,Data!$A:$A,0))</f>
        <v>246</v>
      </c>
      <c r="G26">
        <f>INDEX(Data!F:F,MATCH($E26,Data!$A:$A,0))</f>
        <v>759</v>
      </c>
    </row>
    <row r="27" spans="1:7" x14ac:dyDescent="0.2">
      <c r="E27" s="68">
        <f t="shared" si="0"/>
        <v>45577</v>
      </c>
      <c r="F27">
        <f>INDEX(Data!E:E,MATCH($E27,Data!$A:$A,0))</f>
        <v>356</v>
      </c>
      <c r="G27">
        <f>INDEX(Data!F:F,MATCH($E27,Data!$A:$A,0))</f>
        <v>851</v>
      </c>
    </row>
    <row r="28" spans="1:7" x14ac:dyDescent="0.2">
      <c r="E28" s="68">
        <f t="shared" si="0"/>
        <v>45584</v>
      </c>
      <c r="F28">
        <f>INDEX(Data!E:E,MATCH($E28,Data!$A:$A,0))</f>
        <v>343</v>
      </c>
      <c r="G28">
        <f>INDEX(Data!F:F,MATCH($E28,Data!$A:$A,0))</f>
        <v>932</v>
      </c>
    </row>
    <row r="29" spans="1:7" x14ac:dyDescent="0.2">
      <c r="E29" s="68">
        <f t="shared" si="0"/>
        <v>45591</v>
      </c>
      <c r="F29">
        <f>INDEX(Data!E:E,MATCH($E29,Data!$A:$A,0))</f>
        <v>428</v>
      </c>
      <c r="G29">
        <f>INDEX(Data!F:F,MATCH($E29,Data!$A:$A,0))</f>
        <v>911</v>
      </c>
    </row>
    <row r="30" spans="1:7" x14ac:dyDescent="0.2">
      <c r="E30" s="68">
        <f t="shared" si="0"/>
        <v>45598</v>
      </c>
      <c r="F30">
        <f>INDEX(Data!E:E,MATCH($E30,Data!$A:$A,0))</f>
        <v>514</v>
      </c>
      <c r="G30">
        <f>INDEX(Data!F:F,MATCH($E30,Data!$A:$A,0))</f>
        <v>806</v>
      </c>
    </row>
    <row r="31" spans="1:7" x14ac:dyDescent="0.2">
      <c r="E31" s="68">
        <f t="shared" si="0"/>
        <v>45605</v>
      </c>
      <c r="F31">
        <f>INDEX(Data!E:E,MATCH($E31,Data!$A:$A,0))</f>
        <v>499</v>
      </c>
      <c r="G31">
        <f>INDEX(Data!F:F,MATCH($E31,Data!$A:$A,0))</f>
        <v>981</v>
      </c>
    </row>
    <row r="32" spans="1:7" x14ac:dyDescent="0.2">
      <c r="E32" s="68">
        <f t="shared" si="0"/>
        <v>45612</v>
      </c>
      <c r="F32">
        <f>INDEX(Data!E:E,MATCH($E32,Data!$A:$A,0))</f>
        <v>541</v>
      </c>
      <c r="G32">
        <f>INDEX(Data!F:F,MATCH($E32,Data!$A:$A,0))</f>
        <v>933</v>
      </c>
    </row>
    <row r="33" spans="5:7" x14ac:dyDescent="0.2">
      <c r="E33" s="68">
        <f t="shared" si="0"/>
        <v>45619</v>
      </c>
      <c r="F33">
        <f>INDEX(Data!E:E,MATCH($E33,Data!$A:$A,0))</f>
        <v>570</v>
      </c>
      <c r="G33">
        <f>INDEX(Data!F:F,MATCH($E33,Data!$A:$A,0))</f>
        <v>998</v>
      </c>
    </row>
    <row r="34" spans="5:7" x14ac:dyDescent="0.2">
      <c r="E34" s="68">
        <f t="shared" si="0"/>
        <v>45626</v>
      </c>
      <c r="F34">
        <f>INDEX(Data!E:E,MATCH($E34,Data!$A:$A,0))</f>
        <v>556</v>
      </c>
      <c r="G34">
        <f>INDEX(Data!F:F,MATCH($E34,Data!$A:$A,0))</f>
        <v>983</v>
      </c>
    </row>
    <row r="35" spans="5:7" x14ac:dyDescent="0.2">
      <c r="E35" s="68">
        <f t="shared" si="0"/>
        <v>45633</v>
      </c>
      <c r="F35">
        <f>INDEX(Data!E:E,MATCH($E35,Data!$A:$A,0))</f>
        <v>493</v>
      </c>
      <c r="G35">
        <f>INDEX(Data!F:F,MATCH($E35,Data!$A:$A,0))</f>
        <v>868</v>
      </c>
    </row>
    <row r="36" spans="5:7" x14ac:dyDescent="0.2">
      <c r="E36" s="68">
        <f t="shared" si="0"/>
        <v>45640</v>
      </c>
      <c r="F36">
        <f>INDEX(Data!E:E,MATCH($E36,Data!$A:$A,0))</f>
        <v>619</v>
      </c>
      <c r="G36">
        <f>INDEX(Data!F:F,MATCH($E36,Data!$A:$A,0))</f>
        <v>878</v>
      </c>
    </row>
    <row r="37" spans="5:7" x14ac:dyDescent="0.2">
      <c r="E37" s="68">
        <f t="shared" si="0"/>
        <v>45647</v>
      </c>
      <c r="F37">
        <f>INDEX(Data!E:E,MATCH($E37,Data!$A:$A,0))</f>
        <v>547</v>
      </c>
      <c r="G37">
        <f>INDEX(Data!F:F,MATCH($E37,Data!$A:$A,0))</f>
        <v>877</v>
      </c>
    </row>
    <row r="38" spans="5:7" x14ac:dyDescent="0.2">
      <c r="E38" s="68">
        <f t="shared" si="0"/>
        <v>45654</v>
      </c>
      <c r="F38">
        <f>INDEX(Data!E:E,MATCH($E38,Data!$A:$A,0))</f>
        <v>631</v>
      </c>
      <c r="G38">
        <f>INDEX(Data!F:F,MATCH($E38,Data!$A:$A,0))</f>
        <v>720</v>
      </c>
    </row>
    <row r="39" spans="5:7" x14ac:dyDescent="0.2">
      <c r="E39" s="68">
        <f t="shared" si="0"/>
        <v>45661</v>
      </c>
      <c r="F39">
        <f>INDEX(Data!E:E,MATCH($E39,Data!$A:$A,0))</f>
        <v>445</v>
      </c>
      <c r="G39">
        <f>INDEX(Data!F:F,MATCH($E39,Data!$A:$A,0))</f>
        <v>919</v>
      </c>
    </row>
    <row r="40" spans="5:7" x14ac:dyDescent="0.2">
      <c r="E40" s="68">
        <f t="shared" si="0"/>
        <v>45668</v>
      </c>
      <c r="F40">
        <f>INDEX(Data!E:E,MATCH($E40,Data!$A:$A,0))</f>
        <v>293</v>
      </c>
      <c r="G40">
        <f>INDEX(Data!F:F,MATCH($E40,Data!$A:$A,0))</f>
        <v>838</v>
      </c>
    </row>
    <row r="41" spans="5:7" x14ac:dyDescent="0.2">
      <c r="E41" s="68">
        <f t="shared" si="0"/>
        <v>45675</v>
      </c>
      <c r="F41">
        <f>INDEX(Data!E:E,MATCH($E41,Data!$A:$A,0))</f>
        <v>284</v>
      </c>
      <c r="G41">
        <f>INDEX(Data!F:F,MATCH($E41,Data!$A:$A,0))</f>
        <v>911</v>
      </c>
    </row>
    <row r="42" spans="5:7" x14ac:dyDescent="0.2">
      <c r="E42" s="68">
        <f t="shared" si="0"/>
        <v>45682</v>
      </c>
      <c r="F42">
        <f>INDEX(Data!E:E,MATCH($E42,Data!$A:$A,0))</f>
        <v>421</v>
      </c>
      <c r="G42">
        <f>INDEX(Data!F:F,MATCH($E42,Data!$A:$A,0))</f>
        <v>418</v>
      </c>
    </row>
    <row r="43" spans="5:7" x14ac:dyDescent="0.2">
      <c r="E43" s="68">
        <f t="shared" si="0"/>
        <v>45689</v>
      </c>
      <c r="F43">
        <f>INDEX(Data!E:E,MATCH($E43,Data!$A:$A,0))</f>
        <v>392</v>
      </c>
      <c r="G43">
        <f>INDEX(Data!F:F,MATCH($E43,Data!$A:$A,0))</f>
        <v>865</v>
      </c>
    </row>
    <row r="44" spans="5:7" x14ac:dyDescent="0.2">
      <c r="E44" s="68">
        <f t="shared" si="0"/>
        <v>45696</v>
      </c>
      <c r="F44">
        <f>INDEX(Data!E:E,MATCH($E44,Data!$A:$A,0))</f>
        <v>389</v>
      </c>
      <c r="G44">
        <f>INDEX(Data!F:F,MATCH($E44,Data!$A:$A,0))</f>
        <v>640</v>
      </c>
    </row>
    <row r="45" spans="5:7" x14ac:dyDescent="0.2">
      <c r="E45" s="68">
        <f t="shared" si="0"/>
        <v>45703</v>
      </c>
      <c r="F45">
        <f>INDEX(Data!E:E,MATCH($E45,Data!$A:$A,0))</f>
        <v>423</v>
      </c>
      <c r="G45">
        <f>INDEX(Data!F:F,MATCH($E45,Data!$A:$A,0))</f>
        <v>703</v>
      </c>
    </row>
    <row r="46" spans="5:7" x14ac:dyDescent="0.2">
      <c r="E46" s="68">
        <f t="shared" si="0"/>
        <v>45710</v>
      </c>
      <c r="F46">
        <f>INDEX(Data!E:E,MATCH($E46,Data!$A:$A,0))</f>
        <v>271</v>
      </c>
      <c r="G46">
        <f>INDEX(Data!F:F,MATCH($E46,Data!$A:$A,0))</f>
        <v>745</v>
      </c>
    </row>
    <row r="47" spans="5:7" x14ac:dyDescent="0.2">
      <c r="E47" s="68">
        <f t="shared" si="0"/>
        <v>45717</v>
      </c>
      <c r="F47">
        <f>INDEX(Data!E:E,MATCH($E47,Data!$A:$A,0))</f>
        <v>301</v>
      </c>
      <c r="G47">
        <f>INDEX(Data!F:F,MATCH($E47,Data!$A:$A,0))</f>
        <v>635</v>
      </c>
    </row>
    <row r="48" spans="5:7" x14ac:dyDescent="0.2">
      <c r="E48" s="68">
        <f t="shared" si="0"/>
        <v>45724</v>
      </c>
      <c r="F48">
        <f>INDEX(Data!E:E,MATCH($E48,Data!$A:$A,0))</f>
        <v>248</v>
      </c>
      <c r="G48">
        <f>INDEX(Data!F:F,MATCH($E48,Data!$A:$A,0))</f>
        <v>727</v>
      </c>
    </row>
    <row r="49" spans="5:7" x14ac:dyDescent="0.2">
      <c r="E49" s="68">
        <f t="shared" si="0"/>
        <v>45731</v>
      </c>
      <c r="F49">
        <f>INDEX(Data!E:E,MATCH($E49,Data!$A:$A,0))</f>
        <v>507</v>
      </c>
      <c r="G49">
        <f>INDEX(Data!F:F,MATCH($E49,Data!$A:$A,0))</f>
        <v>704</v>
      </c>
    </row>
    <row r="50" spans="5:7" x14ac:dyDescent="0.2">
      <c r="E50" s="68">
        <f t="shared" si="0"/>
        <v>45738</v>
      </c>
      <c r="F50">
        <f>INDEX(Data!E:E,MATCH($E50,Data!$A:$A,0))</f>
        <v>459</v>
      </c>
      <c r="G50">
        <f>INDEX(Data!F:F,MATCH($E50,Data!$A:$A,0))</f>
        <v>853</v>
      </c>
    </row>
    <row r="51" spans="5:7" x14ac:dyDescent="0.2">
      <c r="E51" s="68">
        <f t="shared" si="0"/>
        <v>45745</v>
      </c>
      <c r="F51">
        <f>INDEX(Data!E:E,MATCH($E51,Data!$A:$A,0))</f>
        <v>574</v>
      </c>
      <c r="G51">
        <f>INDEX(Data!F:F,MATCH($E51,Data!$A:$A,0))</f>
        <v>715</v>
      </c>
    </row>
    <row r="52" spans="5:7" x14ac:dyDescent="0.2">
      <c r="E52" s="68">
        <f t="shared" si="0"/>
        <v>45752</v>
      </c>
      <c r="F52">
        <f>INDEX(Data!E:E,MATCH($E52,Data!$A:$A,0))</f>
        <v>263</v>
      </c>
      <c r="G52">
        <f>INDEX(Data!F:F,MATCH($E52,Data!$A:$A,0))</f>
        <v>747</v>
      </c>
    </row>
    <row r="53" spans="5:7" x14ac:dyDescent="0.2">
      <c r="E53" s="68">
        <f>E54-7</f>
        <v>45759</v>
      </c>
      <c r="F53">
        <f>INDEX(Data!E:E,MATCH($E53,Data!$A:$A,0))</f>
        <v>349</v>
      </c>
      <c r="G53">
        <f>INDEX(Data!F:F,MATCH($E53,Data!$A:$A,0))</f>
        <v>735</v>
      </c>
    </row>
    <row r="54" spans="5:7" x14ac:dyDescent="0.2">
      <c r="E54" s="68">
        <f>INDEX(Data!A:A,MATCH($A$5,Data!$A:$A,0))</f>
        <v>45766</v>
      </c>
      <c r="F54">
        <f>INDEX(Data!E:E,MATCH($E54,Data!$A:$A,0))</f>
        <v>352</v>
      </c>
      <c r="G54">
        <f>INDEX(Data!F:F,MATCH($E54,Data!$A:$A,0))</f>
        <v>575</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7" zoomScale="80" zoomScaleNormal="80" workbookViewId="0">
      <selection activeCell="B5" sqref="B5"/>
    </sheetView>
  </sheetViews>
  <sheetFormatPr defaultRowHeight="12.75" x14ac:dyDescent="0.2"/>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223DDEDC800E4280A4B5233603458F" ma:contentTypeVersion="18" ma:contentTypeDescription="Create a new document." ma:contentTypeScope="" ma:versionID="83b7ff06d2e1e5402c4b79d6fe885981">
  <xsd:schema xmlns:xsd="http://www.w3.org/2001/XMLSchema" xmlns:xs="http://www.w3.org/2001/XMLSchema" xmlns:p="http://schemas.microsoft.com/office/2006/metadata/properties" xmlns:ns1="http://schemas.microsoft.com/sharepoint/v3" xmlns:ns2="120c0c3c-e3eb-4d7e-a85c-a5358f1a759a" xmlns:ns3="c4a67dfe-cdec-447a-851b-01cb3a16d5cf" xmlns:ns4="73fb875a-8af9-4255-b008-0995492d31cd" targetNamespace="http://schemas.microsoft.com/office/2006/metadata/properties" ma:root="true" ma:fieldsID="b2135f98bfdb937ea1b14b077ec4f53e" ns1:_="" ns2:_="" ns3:_="" ns4:_="">
    <xsd:import namespace="http://schemas.microsoft.com/sharepoint/v3"/>
    <xsd:import namespace="120c0c3c-e3eb-4d7e-a85c-a5358f1a759a"/>
    <xsd:import namespace="c4a67dfe-cdec-447a-851b-01cb3a16d5cf"/>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Ed" minOccurs="0"/>
                <xsd:element ref="ns2:lcf76f155ced4ddcb4097134ff3c332f" minOccurs="0"/>
                <xsd:element ref="ns4:TaxCatchAll"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CR"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0c0c3c-e3eb-4d7e-a85c-a5358f1a75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Ed" ma:index="13" nillable="true" ma:displayName="Ed" ma:format="Dropdown" ma:list="UserInfo" ma:SharePointGroup="0" ma:internalName="E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a67dfe-cdec-447a-851b-01cb3a16d5c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1a5537f-d120-46d8-8887-a026cf6709db}" ma:internalName="TaxCatchAll" ma:showField="CatchAllData" ma:web="c4a67dfe-cdec-447a-851b-01cb3a16d5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744682-DB5C-4BD2-93AF-671FD5FA6E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0c0c3c-e3eb-4d7e-a85c-a5358f1a759a"/>
    <ds:schemaRef ds:uri="c4a67dfe-cdec-447a-851b-01cb3a16d5cf"/>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27AB84-F250-4A5A-B096-2F970D67E7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Socrata_Data</vt:lpstr>
      <vt:lpstr>DB barges vs UL NO barges</vt:lpstr>
      <vt:lpstr>Redesign</vt:lpstr>
      <vt:lpstr>Data</vt:lpstr>
      <vt:lpstr>Figure text</vt:lpstr>
      <vt:lpstr>Sheet1</vt:lpstr>
      <vt:lpstr>Redesign!Print_Area</vt:lpstr>
    </vt:vector>
  </TitlesOfParts>
  <Manager/>
  <Company>USDA - AMS TM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Government User</dc:creator>
  <cp:keywords/>
  <dc:description/>
  <cp:lastModifiedBy>Henderson, Richard - MRP-AMS</cp:lastModifiedBy>
  <cp:revision/>
  <cp:lastPrinted>2025-04-01T11:28:56Z</cp:lastPrinted>
  <dcterms:created xsi:type="dcterms:W3CDTF">2006-06-12T19:05:10Z</dcterms:created>
  <dcterms:modified xsi:type="dcterms:W3CDTF">2025-04-21T18:22:43Z</dcterms:modified>
  <cp:category/>
  <cp:contentStatus/>
</cp:coreProperties>
</file>